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按速度排序表" sheetId="1" r:id="rId1"/>
    <sheet name="按种族值排序表" sheetId="5" r:id="rId2"/>
    <sheet name="伤害计算器" sheetId="7" r:id="rId3"/>
    <sheet name="前言及操作说明" sheetId="3" r:id="rId4"/>
    <sheet name="思路讲解" sheetId="6" r:id="rId5"/>
    <sheet name="感谢支持" sheetId="8" r:id="rId6"/>
  </sheets>
  <definedNames>
    <definedName name="_xlnm._FilterDatabase" localSheetId="0" hidden="1">按速度排序表!$A$1:$Q$177</definedName>
    <definedName name="_xlnm._FilterDatabase" localSheetId="1" hidden="1">按种族值排序表!$A$1:$Q$177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8DA0510A68E4A43B0A0967FF55C35DB" descr="5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8270" y="49302035"/>
          <a:ext cx="1052830" cy="1130300"/>
        </a:xfrm>
        <a:prstGeom prst="rect">
          <a:avLst/>
        </a:prstGeom>
      </xdr:spPr>
    </xdr:pic>
  </etc:cellImage>
  <etc:cellImage>
    <xdr:pic>
      <xdr:nvPicPr>
        <xdr:cNvPr id="3" name="ID_986C67DC5112412EAA3746DDB97CB76F" descr="赛尔号巨型仙人掌"/>
        <xdr:cNvPicPr>
          <a:picLocks noChangeAspect="1"/>
        </xdr:cNvPicPr>
      </xdr:nvPicPr>
      <xdr:blipFill>
        <a:blip r:embed="rId2" r:link="rId3"/>
        <a:srcRect/>
        <a:stretch>
          <a:fillRect/>
        </a:stretch>
      </xdr:blipFill>
      <xdr:spPr>
        <a:xfrm>
          <a:off x="1254125" y="211455"/>
          <a:ext cx="1034415" cy="109029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" name="ID_BB3E73CEBF4445E09A8DE6BEC94F9487" descr="赛尔号巴拉龟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1261110" y="1315720"/>
          <a:ext cx="1024255" cy="1079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410FC95A3A784CBFADD2703CB5309A57" descr="赛尔号里奥斯"/>
        <xdr:cNvPicPr>
          <a:picLocks noChangeAspect="1"/>
        </xdr:cNvPicPr>
      </xdr:nvPicPr>
      <xdr:blipFill>
        <a:blip r:embed="rId5" r:link="rId3"/>
        <a:stretch>
          <a:fillRect/>
        </a:stretch>
      </xdr:blipFill>
      <xdr:spPr>
        <a:xfrm>
          <a:off x="1297940" y="2502535"/>
          <a:ext cx="1024255" cy="108013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" name="ID_EB0EE431E76245BCBE534433193E026C" descr="赛尔号西萨琉拉"/>
        <xdr:cNvPicPr>
          <a:picLocks noChangeAspect="1"/>
        </xdr:cNvPicPr>
      </xdr:nvPicPr>
      <xdr:blipFill>
        <a:blip r:embed="rId6" r:link="rId3"/>
        <a:stretch>
          <a:fillRect/>
        </a:stretch>
      </xdr:blipFill>
      <xdr:spPr>
        <a:xfrm>
          <a:off x="1419225" y="372364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3D452DCBDF46437FB4D729C2C2326EAD" descr="赛尔号阿克希亚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1330325" y="474662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0B15863493F24C3B91DF4E9F0A884241" descr="赛尔号雷吉欧斯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348105" y="590677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4CD6937D7868401F859E9F5FB8977C56" descr="赛尔号提亚斯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393190" y="703707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" name="ID_5A419892C8944A62A710CBA028673969" descr="赛尔号雷伊"/>
        <xdr:cNvPicPr>
          <a:picLocks noChangeAspect="1"/>
        </xdr:cNvPicPr>
      </xdr:nvPicPr>
      <xdr:blipFill>
        <a:blip r:embed="rId10" r:link="rId3"/>
        <a:stretch>
          <a:fillRect/>
        </a:stretch>
      </xdr:blipFill>
      <xdr:spPr>
        <a:xfrm>
          <a:off x="1438910" y="8143240"/>
          <a:ext cx="2438400" cy="25755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" name="ID_D89EEA9B95D74A7CB4C2AFA29315AA25" descr="赛尔号雷伊"/>
        <xdr:cNvPicPr>
          <a:picLocks noChangeAspect="1"/>
        </xdr:cNvPicPr>
      </xdr:nvPicPr>
      <xdr:blipFill>
        <a:blip r:embed="rId10" r:link="rId3"/>
        <a:stretch>
          <a:fillRect/>
        </a:stretch>
      </xdr:blipFill>
      <xdr:spPr>
        <a:xfrm>
          <a:off x="1499870" y="9309735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99948ECB8DB346D09F370EC46AD1DADB" descr="赛尔号派鲁基达"/>
        <xdr:cNvPicPr>
          <a:picLocks noChangeAspect="1"/>
        </xdr:cNvPicPr>
      </xdr:nvPicPr>
      <xdr:blipFill>
        <a:blip r:embed="rId11" r:link="rId3"/>
        <a:stretch>
          <a:fillRect/>
        </a:stretch>
      </xdr:blipFill>
      <xdr:spPr>
        <a:xfrm>
          <a:off x="1455420" y="1038733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839AA8D8C7504440B96D7513A8A6416B" descr="赛尔号水晶鸭"/>
        <xdr:cNvPicPr>
          <a:picLocks noChangeAspect="1"/>
        </xdr:cNvPicPr>
      </xdr:nvPicPr>
      <xdr:blipFill>
        <a:blip r:embed="rId12" r:link="rId3"/>
        <a:stretch>
          <a:fillRect/>
        </a:stretch>
      </xdr:blipFill>
      <xdr:spPr>
        <a:xfrm>
          <a:off x="1393825" y="11440160"/>
          <a:ext cx="2438400" cy="25755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CF629DB276FB48C8B5A013733A77474D" descr="赛尔号帕尔西丝"/>
        <xdr:cNvPicPr>
          <a:picLocks noChangeAspect="1"/>
        </xdr:cNvPicPr>
      </xdr:nvPicPr>
      <xdr:blipFill>
        <a:blip r:embed="rId13" r:link="rId3"/>
        <a:stretch>
          <a:fillRect/>
        </a:stretch>
      </xdr:blipFill>
      <xdr:spPr>
        <a:xfrm>
          <a:off x="1234440" y="12444095"/>
          <a:ext cx="2438400" cy="25755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8" name="ID_A432848293A04D2B818E697E3B8B5E17" descr="赛尔号纳多雷"/>
        <xdr:cNvPicPr>
          <a:picLocks noChangeAspect="1"/>
        </xdr:cNvPicPr>
      </xdr:nvPicPr>
      <xdr:blipFill>
        <a:blip r:embed="rId14" r:link="rId3"/>
        <a:stretch>
          <a:fillRect/>
        </a:stretch>
      </xdr:blipFill>
      <xdr:spPr>
        <a:xfrm>
          <a:off x="1473200" y="1381061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9" name="ID_80389CFEA3514D9AAA3227A29A3E224F" descr="赛尔号迪尔克"/>
        <xdr:cNvPicPr>
          <a:picLocks noChangeAspect="1"/>
        </xdr:cNvPicPr>
      </xdr:nvPicPr>
      <xdr:blipFill>
        <a:blip r:embed="rId15" r:link="rId3"/>
        <a:stretch>
          <a:fillRect/>
        </a:stretch>
      </xdr:blipFill>
      <xdr:spPr>
        <a:xfrm>
          <a:off x="1284605" y="1471866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0" name="ID_79D4C40807034CB59ADA61A6589FCCE4" descr="赛尔号蝠迪"/>
        <xdr:cNvPicPr>
          <a:picLocks noChangeAspect="1"/>
        </xdr:cNvPicPr>
      </xdr:nvPicPr>
      <xdr:blipFill>
        <a:blip r:embed="rId16" r:link="rId3"/>
        <a:stretch>
          <a:fillRect/>
        </a:stretch>
      </xdr:blipFill>
      <xdr:spPr>
        <a:xfrm>
          <a:off x="1553845" y="1619885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" name="ID_DEA3B9EFC0EB4295A2CCD183DED0846F" descr="赛尔号希拉"/>
        <xdr:cNvPicPr>
          <a:picLocks noChangeAspect="1"/>
        </xdr:cNvPicPr>
      </xdr:nvPicPr>
      <xdr:blipFill>
        <a:blip r:embed="rId17" r:link="rId3"/>
        <a:stretch>
          <a:fillRect/>
        </a:stretch>
      </xdr:blipFill>
      <xdr:spPr>
        <a:xfrm>
          <a:off x="1553845" y="1713420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2" name="ID_995968A8D6A24B2EBF6D8DB02C77394D" descr="赛尔号柯蓝"/>
        <xdr:cNvPicPr>
          <a:picLocks noChangeAspect="1"/>
        </xdr:cNvPicPr>
      </xdr:nvPicPr>
      <xdr:blipFill>
        <a:blip r:embed="rId18" r:link="rId3"/>
        <a:stretch>
          <a:fillRect/>
        </a:stretch>
      </xdr:blipFill>
      <xdr:spPr>
        <a:xfrm>
          <a:off x="1499870" y="1839912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3" name="ID_FB513B231A004D8EBADC1EF4F92A1DDB" descr="赛尔号卡尔特"/>
        <xdr:cNvPicPr>
          <a:picLocks noChangeAspect="1"/>
        </xdr:cNvPicPr>
      </xdr:nvPicPr>
      <xdr:blipFill>
        <a:blip r:embed="rId19" r:link="rId3"/>
        <a:stretch>
          <a:fillRect/>
        </a:stretch>
      </xdr:blipFill>
      <xdr:spPr>
        <a:xfrm>
          <a:off x="1598930" y="1953196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4" name="ID_0BD32AD052CE43C1BA335F0A2D7592FD" descr="赛尔号雷吉姆斯"/>
        <xdr:cNvPicPr>
          <a:picLocks noChangeAspect="1"/>
        </xdr:cNvPicPr>
      </xdr:nvPicPr>
      <xdr:blipFill>
        <a:blip r:embed="rId20" r:link="rId3"/>
        <a:stretch>
          <a:fillRect/>
        </a:stretch>
      </xdr:blipFill>
      <xdr:spPr>
        <a:xfrm>
          <a:off x="1363980" y="20329525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987F969B76DA4ED4896F6D186F709836" descr="赛尔号丁鲁特"/>
        <xdr:cNvPicPr>
          <a:picLocks noChangeAspect="1"/>
        </xdr:cNvPicPr>
      </xdr:nvPicPr>
      <xdr:blipFill>
        <a:blip r:embed="rId21" r:link="rId3"/>
        <a:stretch>
          <a:fillRect/>
        </a:stretch>
      </xdr:blipFill>
      <xdr:spPr>
        <a:xfrm>
          <a:off x="1491615" y="2165223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6" name="ID_31DBE026FA9D49CEB57862332A4F982A" descr="赛尔号布鲁克克"/>
        <xdr:cNvPicPr>
          <a:picLocks noChangeAspect="1"/>
        </xdr:cNvPicPr>
      </xdr:nvPicPr>
      <xdr:blipFill>
        <a:blip r:embed="rId22" r:link="rId3"/>
        <a:stretch>
          <a:fillRect/>
        </a:stretch>
      </xdr:blipFill>
      <xdr:spPr>
        <a:xfrm>
          <a:off x="1329690" y="2261362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7" name="ID_A49BD71137144AE1B49E65E4B3494180" descr="赛尔号雷纳多"/>
        <xdr:cNvPicPr>
          <a:picLocks noChangeAspect="1"/>
        </xdr:cNvPicPr>
      </xdr:nvPicPr>
      <xdr:blipFill>
        <a:blip r:embed="rId23" r:link="rId3"/>
        <a:stretch>
          <a:fillRect/>
        </a:stretch>
      </xdr:blipFill>
      <xdr:spPr>
        <a:xfrm>
          <a:off x="1616710" y="2395918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8" name="ID_991374753B43418D934F374429CF13B4" descr="赛尔号巨型树妖"/>
        <xdr:cNvPicPr>
          <a:picLocks noChangeAspect="1"/>
        </xdr:cNvPicPr>
      </xdr:nvPicPr>
      <xdr:blipFill>
        <a:blip r:embed="rId24" r:link="rId3"/>
        <a:stretch>
          <a:fillRect/>
        </a:stretch>
      </xdr:blipFill>
      <xdr:spPr>
        <a:xfrm>
          <a:off x="1518285" y="2507424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9" name="ID_7EB69BC306C546DC872816EFD698A1FC" descr="赛尔号克洛亚"/>
        <xdr:cNvPicPr>
          <a:picLocks noChangeAspect="1"/>
        </xdr:cNvPicPr>
      </xdr:nvPicPr>
      <xdr:blipFill>
        <a:blip r:embed="rId25" r:link="rId3"/>
        <a:stretch>
          <a:fillRect/>
        </a:stretch>
      </xdr:blipFill>
      <xdr:spPr>
        <a:xfrm>
          <a:off x="1581150" y="2617660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0" name="ID_8EEC42F1A197491CA2A7BA2E82440BC3" descr="赛尔号伊卡罗尼"/>
        <xdr:cNvPicPr>
          <a:picLocks noChangeAspect="1"/>
        </xdr:cNvPicPr>
      </xdr:nvPicPr>
      <xdr:blipFill>
        <a:blip r:embed="rId26" r:link="rId3"/>
        <a:stretch>
          <a:fillRect/>
        </a:stretch>
      </xdr:blipFill>
      <xdr:spPr>
        <a:xfrm>
          <a:off x="1455420" y="2720340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1" name="ID_A71C86386F69481BA2B39A37FD8C53AB" descr="赛尔号尤纳斯"/>
        <xdr:cNvPicPr>
          <a:picLocks noChangeAspect="1"/>
        </xdr:cNvPicPr>
      </xdr:nvPicPr>
      <xdr:blipFill>
        <a:blip r:embed="rId27" r:link="rId3"/>
        <a:stretch>
          <a:fillRect/>
        </a:stretch>
      </xdr:blipFill>
      <xdr:spPr>
        <a:xfrm>
          <a:off x="1715135" y="28369895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2" name="ID_DBD1DE2F7BFD45EDA5C1C375FF561F57" descr="赛尔号巴法尔"/>
        <xdr:cNvPicPr>
          <a:picLocks noChangeAspect="1"/>
        </xdr:cNvPicPr>
      </xdr:nvPicPr>
      <xdr:blipFill>
        <a:blip r:embed="rId28" r:link="rId3"/>
        <a:stretch>
          <a:fillRect/>
        </a:stretch>
      </xdr:blipFill>
      <xdr:spPr>
        <a:xfrm>
          <a:off x="1491615" y="2939478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3" name="ID_4926D14734C34A489454D9FCAC661F10" descr="赛尔号艾迪希洛"/>
        <xdr:cNvPicPr>
          <a:picLocks noChangeAspect="1"/>
        </xdr:cNvPicPr>
      </xdr:nvPicPr>
      <xdr:blipFill>
        <a:blip r:embed="rId29" r:link="rId3"/>
        <a:stretch>
          <a:fillRect/>
        </a:stretch>
      </xdr:blipFill>
      <xdr:spPr>
        <a:xfrm>
          <a:off x="1518285" y="3065208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4" name="ID_805379393CAE442B9343EDBB9A7084B9" descr="赛尔号肯扎特"/>
        <xdr:cNvPicPr>
          <a:picLocks noChangeAspect="1"/>
        </xdr:cNvPicPr>
      </xdr:nvPicPr>
      <xdr:blipFill>
        <a:blip r:embed="rId30" r:link="rId3"/>
        <a:stretch>
          <a:fillRect/>
        </a:stretch>
      </xdr:blipFill>
      <xdr:spPr>
        <a:xfrm>
          <a:off x="1383665" y="3158490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5" name="ID_42DF4F97D47E4E22A8253CA77F5BC387" descr="赛尔号赫卡特"/>
        <xdr:cNvPicPr>
          <a:picLocks noChangeAspect="1"/>
        </xdr:cNvPicPr>
      </xdr:nvPicPr>
      <xdr:blipFill>
        <a:blip r:embed="rId31" r:link="rId3"/>
        <a:stretch>
          <a:fillRect/>
        </a:stretch>
      </xdr:blipFill>
      <xdr:spPr>
        <a:xfrm>
          <a:off x="1563370" y="3296031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6" name="ID_10D43E459F6E414D8E83A726214C7B60" descr="赛尔号吉尼亚斯"/>
        <xdr:cNvPicPr>
          <a:picLocks noChangeAspect="1"/>
        </xdr:cNvPicPr>
      </xdr:nvPicPr>
      <xdr:blipFill>
        <a:blip r:embed="rId32" r:link="rId3"/>
        <a:stretch>
          <a:fillRect/>
        </a:stretch>
      </xdr:blipFill>
      <xdr:spPr>
        <a:xfrm>
          <a:off x="1464310" y="3381438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7" name="ID_CD11BE2B234944BC8F0F7DB8ACF4FE3C" descr="赛尔号贝特卡恩"/>
        <xdr:cNvPicPr>
          <a:picLocks noChangeAspect="1"/>
        </xdr:cNvPicPr>
      </xdr:nvPicPr>
      <xdr:blipFill>
        <a:blip r:embed="rId33" r:link="rId3"/>
        <a:stretch>
          <a:fillRect/>
        </a:stretch>
      </xdr:blipFill>
      <xdr:spPr>
        <a:xfrm>
          <a:off x="1445895" y="3508819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8" name="ID_A1A55BDEDD33485CBF50A90505AFDC3D" descr="赛尔号灵翼蜂"/>
        <xdr:cNvPicPr>
          <a:picLocks noChangeAspect="1"/>
        </xdr:cNvPicPr>
      </xdr:nvPicPr>
      <xdr:blipFill>
        <a:blip r:embed="rId34" r:link="rId3"/>
        <a:stretch>
          <a:fillRect/>
        </a:stretch>
      </xdr:blipFill>
      <xdr:spPr>
        <a:xfrm>
          <a:off x="1455420" y="36111815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9" name="ID_338517780EDB47469D309116C6BFC08F" descr="赛尔号巴尔克"/>
        <xdr:cNvPicPr>
          <a:picLocks noChangeAspect="1"/>
        </xdr:cNvPicPr>
      </xdr:nvPicPr>
      <xdr:blipFill>
        <a:blip r:embed="rId35" r:link="rId3"/>
        <a:stretch>
          <a:fillRect/>
        </a:stretch>
      </xdr:blipFill>
      <xdr:spPr>
        <a:xfrm>
          <a:off x="1392555" y="3714559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0" name="ID_CCB9A8DD8EC54A3DBA503A3513809762" descr="赛尔号斯托利亚"/>
        <xdr:cNvPicPr>
          <a:picLocks noChangeAspect="1"/>
        </xdr:cNvPicPr>
      </xdr:nvPicPr>
      <xdr:blipFill>
        <a:blip r:embed="rId36" r:link="rId3"/>
        <a:stretch>
          <a:fillRect/>
        </a:stretch>
      </xdr:blipFill>
      <xdr:spPr>
        <a:xfrm>
          <a:off x="1527175" y="3841178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1" name="ID_C7D43245374B48928231A75671EDE1C8" descr="赛尔号达鲁切尔"/>
        <xdr:cNvPicPr>
          <a:picLocks noChangeAspect="1"/>
        </xdr:cNvPicPr>
      </xdr:nvPicPr>
      <xdr:blipFill>
        <a:blip r:embed="rId37" r:link="rId3"/>
        <a:stretch>
          <a:fillRect/>
        </a:stretch>
      </xdr:blipFill>
      <xdr:spPr>
        <a:xfrm>
          <a:off x="1544955" y="3947985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2" name="ID_56DCEFDFD4AD44269B060B610A7C093E" descr="赛尔号闪光波克尔"/>
        <xdr:cNvPicPr>
          <a:picLocks noChangeAspect="1"/>
        </xdr:cNvPicPr>
      </xdr:nvPicPr>
      <xdr:blipFill>
        <a:blip r:embed="rId38" r:link="rId3"/>
        <a:stretch>
          <a:fillRect/>
        </a:stretch>
      </xdr:blipFill>
      <xdr:spPr>
        <a:xfrm>
          <a:off x="1454785" y="4063047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3" name="ID_83401E4363414A619FB6167956636ADF" descr="赛尔号卡特斯"/>
        <xdr:cNvPicPr>
          <a:picLocks noChangeAspect="1"/>
        </xdr:cNvPicPr>
      </xdr:nvPicPr>
      <xdr:blipFill>
        <a:blip r:embed="rId39" r:link="rId3"/>
        <a:stretch>
          <a:fillRect/>
        </a:stretch>
      </xdr:blipFill>
      <xdr:spPr>
        <a:xfrm>
          <a:off x="1330325" y="4171823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4" name="ID_CE4A7A7D69644A76BCB6D590205E0FDA" descr="赛尔号魔牙鱼"/>
        <xdr:cNvPicPr>
          <a:picLocks noChangeAspect="1"/>
        </xdr:cNvPicPr>
      </xdr:nvPicPr>
      <xdr:blipFill>
        <a:blip r:embed="rId40" r:link="rId3"/>
        <a:stretch>
          <a:fillRect/>
        </a:stretch>
      </xdr:blipFill>
      <xdr:spPr>
        <a:xfrm>
          <a:off x="1356360" y="4265993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5" name="ID_8AD350ABAA6644508993E45118E46BDA" descr="赛尔号贝鲁基德"/>
        <xdr:cNvPicPr>
          <a:picLocks noChangeAspect="1"/>
        </xdr:cNvPicPr>
      </xdr:nvPicPr>
      <xdr:blipFill>
        <a:blip r:embed="rId41" r:link="rId3"/>
        <a:stretch>
          <a:fillRect/>
        </a:stretch>
      </xdr:blipFill>
      <xdr:spPr>
        <a:xfrm>
          <a:off x="1482090" y="4388167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6" name="ID_6AABD9BAB4134A1DA206EB4859F57B44" descr="赛尔号巴弗洛"/>
        <xdr:cNvPicPr>
          <a:picLocks noChangeAspect="1"/>
        </xdr:cNvPicPr>
      </xdr:nvPicPr>
      <xdr:blipFill>
        <a:blip r:embed="rId42" r:link="rId3"/>
        <a:stretch>
          <a:fillRect/>
        </a:stretch>
      </xdr:blipFill>
      <xdr:spPr>
        <a:xfrm>
          <a:off x="1598930" y="4515675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7" name="ID_6AE4BCE1635A404093CD524C250B5504" descr="赛尔号奇拉塔顿"/>
        <xdr:cNvPicPr>
          <a:picLocks noChangeAspect="1"/>
        </xdr:cNvPicPr>
      </xdr:nvPicPr>
      <xdr:blipFill>
        <a:blip r:embed="rId43" r:link="rId3"/>
        <a:stretch>
          <a:fillRect/>
        </a:stretch>
      </xdr:blipFill>
      <xdr:spPr>
        <a:xfrm>
          <a:off x="1365885" y="4606480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8" name="ID_EBCEF8C0B50D493699168A5AE0E89CC3" descr="赛尔号梅鲁"/>
        <xdr:cNvPicPr>
          <a:picLocks noChangeAspect="1"/>
        </xdr:cNvPicPr>
      </xdr:nvPicPr>
      <xdr:blipFill>
        <a:blip r:embed="rId44" r:link="rId3"/>
        <a:stretch>
          <a:fillRect/>
        </a:stretch>
      </xdr:blipFill>
      <xdr:spPr>
        <a:xfrm>
          <a:off x="1482090" y="47124620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9" name="ID_D5FE888FA0B848609502038DE74EF625" descr="赛尔号魔狮迪露"/>
        <xdr:cNvPicPr>
          <a:picLocks noChangeAspect="1"/>
        </xdr:cNvPicPr>
      </xdr:nvPicPr>
      <xdr:blipFill>
        <a:blip r:embed="rId45" r:link="rId3"/>
        <a:stretch>
          <a:fillRect/>
        </a:stretch>
      </xdr:blipFill>
      <xdr:spPr>
        <a:xfrm>
          <a:off x="1365250" y="4819459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0" name="ID_58E3D997BF9B457FA5EAB140F41F06BB" descr="赛尔号克林卡修"/>
        <xdr:cNvPicPr>
          <a:picLocks noChangeAspect="1"/>
        </xdr:cNvPicPr>
      </xdr:nvPicPr>
      <xdr:blipFill>
        <a:blip r:embed="rId46" r:link="rId3"/>
        <a:stretch>
          <a:fillRect/>
        </a:stretch>
      </xdr:blipFill>
      <xdr:spPr>
        <a:xfrm>
          <a:off x="1581150" y="49432845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1" name="ID_1D615269B8804ECFBD6C0D5784202E66" descr="赛尔号西萨拉斯"/>
        <xdr:cNvPicPr>
          <a:picLocks noChangeAspect="1"/>
        </xdr:cNvPicPr>
      </xdr:nvPicPr>
      <xdr:blipFill>
        <a:blip r:embed="rId47" r:link="rId3"/>
        <a:stretch>
          <a:fillRect/>
        </a:stretch>
      </xdr:blipFill>
      <xdr:spPr>
        <a:xfrm>
          <a:off x="1419225" y="5052885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2" name="ID_E9475E3C6483453A8699B0369202199E" descr="赛尔号亚梅丝"/>
        <xdr:cNvPicPr>
          <a:picLocks noChangeAspect="1"/>
        </xdr:cNvPicPr>
      </xdr:nvPicPr>
      <xdr:blipFill>
        <a:blip r:embed="rId48" r:link="rId3"/>
        <a:stretch>
          <a:fillRect/>
        </a:stretch>
      </xdr:blipFill>
      <xdr:spPr>
        <a:xfrm>
          <a:off x="1581150" y="5187696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3" name="ID_AB78B766A9F244F59B05DE224DF3F5D8" descr="赛尔号麟甲龙鱼"/>
        <xdr:cNvPicPr>
          <a:picLocks noChangeAspect="1"/>
        </xdr:cNvPicPr>
      </xdr:nvPicPr>
      <xdr:blipFill>
        <a:blip r:embed="rId49" r:link="rId3"/>
        <a:stretch>
          <a:fillRect/>
        </a:stretch>
      </xdr:blipFill>
      <xdr:spPr>
        <a:xfrm>
          <a:off x="1509395" y="5287391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4" name="ID_0D7D4BE05F2D4D038C743519D9EA986E" descr="赛尔号SRX"/>
        <xdr:cNvPicPr>
          <a:picLocks noChangeAspect="1"/>
        </xdr:cNvPicPr>
      </xdr:nvPicPr>
      <xdr:blipFill>
        <a:blip r:embed="rId50" r:link="rId3"/>
        <a:stretch>
          <a:fillRect/>
        </a:stretch>
      </xdr:blipFill>
      <xdr:spPr>
        <a:xfrm>
          <a:off x="1410970" y="5387911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5" name="ID_38B190E460FB41D2827CB74446DC7EC4" descr="赛尔号塔姆拉"/>
        <xdr:cNvPicPr>
          <a:picLocks noChangeAspect="1"/>
        </xdr:cNvPicPr>
      </xdr:nvPicPr>
      <xdr:blipFill>
        <a:blip r:embed="rId51" r:link="rId3"/>
        <a:stretch>
          <a:fillRect/>
        </a:stretch>
      </xdr:blipFill>
      <xdr:spPr>
        <a:xfrm>
          <a:off x="1356995" y="5494020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6" name="ID_3130C77D964746AE994D1506EE1E504A" descr="赛尔号星吉拉"/>
        <xdr:cNvPicPr>
          <a:picLocks noChangeAspect="1"/>
        </xdr:cNvPicPr>
      </xdr:nvPicPr>
      <xdr:blipFill>
        <a:blip r:embed="rId52" r:link="rId3"/>
        <a:stretch>
          <a:fillRect/>
        </a:stretch>
      </xdr:blipFill>
      <xdr:spPr>
        <a:xfrm>
          <a:off x="1473200" y="5616892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7" name="ID_2E235548409D4EE4A814B79213802045" descr="赛尔号多鲁姆"/>
        <xdr:cNvPicPr>
          <a:picLocks noChangeAspect="1"/>
        </xdr:cNvPicPr>
      </xdr:nvPicPr>
      <xdr:blipFill>
        <a:blip r:embed="rId53" r:link="rId3"/>
        <a:stretch>
          <a:fillRect/>
        </a:stretch>
      </xdr:blipFill>
      <xdr:spPr>
        <a:xfrm>
          <a:off x="1894205" y="5749798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8" name="ID_144F513254BA4111BFE3085F804C3863" descr="赛尔号卡其沙"/>
        <xdr:cNvPicPr>
          <a:picLocks noChangeAspect="1"/>
        </xdr:cNvPicPr>
      </xdr:nvPicPr>
      <xdr:blipFill>
        <a:blip r:embed="rId54" r:link="rId3"/>
        <a:stretch>
          <a:fillRect/>
        </a:stretch>
      </xdr:blipFill>
      <xdr:spPr>
        <a:xfrm>
          <a:off x="1778000" y="5875464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9" name="ID_FB38885DB9B84727B9AF327D485608AA" descr="赛尔号TOH"/>
        <xdr:cNvPicPr>
          <a:picLocks noChangeAspect="1"/>
        </xdr:cNvPicPr>
      </xdr:nvPicPr>
      <xdr:blipFill>
        <a:blip r:embed="rId55" r:link="rId3"/>
        <a:stretch>
          <a:fillRect/>
        </a:stretch>
      </xdr:blipFill>
      <xdr:spPr>
        <a:xfrm>
          <a:off x="1428750" y="5943917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0" name="ID_144C0B9E980D49D0BFE57CBE133282D1" descr="赛尔号哈莫雷特"/>
        <xdr:cNvPicPr>
          <a:picLocks noChangeAspect="1"/>
        </xdr:cNvPicPr>
      </xdr:nvPicPr>
      <xdr:blipFill>
        <a:blip r:embed="rId56" r:link="rId3"/>
        <a:stretch>
          <a:fillRect/>
        </a:stretch>
      </xdr:blipFill>
      <xdr:spPr>
        <a:xfrm>
          <a:off x="1356995" y="6040120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1" name="ID_830491BC2B814685AB761B9E8FB35AA6" descr="赛尔号扎夫特"/>
        <xdr:cNvPicPr>
          <a:picLocks noChangeAspect="1"/>
        </xdr:cNvPicPr>
      </xdr:nvPicPr>
      <xdr:blipFill>
        <a:blip r:embed="rId57" r:link="rId3"/>
        <a:stretch>
          <a:fillRect/>
        </a:stretch>
      </xdr:blipFill>
      <xdr:spPr>
        <a:xfrm>
          <a:off x="1392555" y="6164135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2" name="ID_5F76154FBFC34BC6BD62CFF73FE780A0" descr="赛尔号依希亚"/>
        <xdr:cNvPicPr>
          <a:picLocks noChangeAspect="1"/>
        </xdr:cNvPicPr>
      </xdr:nvPicPr>
      <xdr:blipFill>
        <a:blip r:embed="rId58" r:link="rId3"/>
        <a:stretch>
          <a:fillRect/>
        </a:stretch>
      </xdr:blipFill>
      <xdr:spPr>
        <a:xfrm>
          <a:off x="1527175" y="6285357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3" name="ID_D99833A361C44B659B909031E3939B21" descr="赛尔号卡库"/>
        <xdr:cNvPicPr>
          <a:picLocks noChangeAspect="1"/>
        </xdr:cNvPicPr>
      </xdr:nvPicPr>
      <xdr:blipFill>
        <a:blip r:embed="rId59" r:link="rId3"/>
        <a:stretch>
          <a:fillRect/>
        </a:stretch>
      </xdr:blipFill>
      <xdr:spPr>
        <a:xfrm>
          <a:off x="1482090" y="6390322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4" name="ID_23F007BEC3654BEDB444C2DA74C2B19F" descr="赛尔号赫德卡"/>
        <xdr:cNvPicPr>
          <a:picLocks noChangeAspect="1"/>
        </xdr:cNvPicPr>
      </xdr:nvPicPr>
      <xdr:blipFill>
        <a:blip r:embed="rId60" r:link="rId3"/>
        <a:stretch>
          <a:fillRect/>
        </a:stretch>
      </xdr:blipFill>
      <xdr:spPr>
        <a:xfrm>
          <a:off x="1249045" y="6490208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5" name="ID_0F464482A2BC4C01ADE9030246B7F75F" descr="赛尔号伊兰罗尼"/>
        <xdr:cNvPicPr>
          <a:picLocks noChangeAspect="1"/>
        </xdr:cNvPicPr>
      </xdr:nvPicPr>
      <xdr:blipFill>
        <a:blip r:embed="rId61" r:link="rId3"/>
        <a:stretch>
          <a:fillRect/>
        </a:stretch>
      </xdr:blipFill>
      <xdr:spPr>
        <a:xfrm>
          <a:off x="1401445" y="66031745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6" name="ID_B784142D8D60475AB28FB6EC8E96E43B" descr="赛尔号查尔顿"/>
        <xdr:cNvPicPr>
          <a:picLocks noChangeAspect="1"/>
        </xdr:cNvPicPr>
      </xdr:nvPicPr>
      <xdr:blipFill>
        <a:blip r:embed="rId62" r:link="rId3"/>
        <a:stretch>
          <a:fillRect/>
        </a:stretch>
      </xdr:blipFill>
      <xdr:spPr>
        <a:xfrm>
          <a:off x="1580515" y="6726237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7" name="ID_86BD1C63B36A467E878E7C1D3B688829" descr="赛尔号刺爪蟹"/>
        <xdr:cNvPicPr>
          <a:picLocks noChangeAspect="1"/>
        </xdr:cNvPicPr>
      </xdr:nvPicPr>
      <xdr:blipFill>
        <a:blip r:embed="rId63" r:link="rId3"/>
        <a:stretch>
          <a:fillRect/>
        </a:stretch>
      </xdr:blipFill>
      <xdr:spPr>
        <a:xfrm>
          <a:off x="1455420" y="68394580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8" name="ID_E7CAD3FBD382455696D1D58FC1DABD1A" descr="赛尔号伊娅丝"/>
        <xdr:cNvPicPr>
          <a:picLocks noChangeAspect="1"/>
        </xdr:cNvPicPr>
      </xdr:nvPicPr>
      <xdr:blipFill>
        <a:blip r:embed="rId64" r:link="rId3"/>
        <a:stretch>
          <a:fillRect/>
        </a:stretch>
      </xdr:blipFill>
      <xdr:spPr>
        <a:xfrm>
          <a:off x="1499870" y="6951853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9" name="ID_161A0C3E0F2D43AEB5A2F173DD94854A" descr="赛尔号米洛尼"/>
        <xdr:cNvPicPr>
          <a:picLocks noChangeAspect="1"/>
        </xdr:cNvPicPr>
      </xdr:nvPicPr>
      <xdr:blipFill>
        <a:blip r:embed="rId65" r:link="rId3"/>
        <a:stretch>
          <a:fillRect/>
        </a:stretch>
      </xdr:blipFill>
      <xdr:spPr>
        <a:xfrm>
          <a:off x="1482090" y="7048881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0" name="ID_14414EF5876A443DA7F120BD17D8AAAC" descr="赛尔号吉娜斯"/>
        <xdr:cNvPicPr>
          <a:picLocks noChangeAspect="1"/>
        </xdr:cNvPicPr>
      </xdr:nvPicPr>
      <xdr:blipFill>
        <a:blip r:embed="rId66" r:link="rId3"/>
        <a:stretch>
          <a:fillRect/>
        </a:stretch>
      </xdr:blipFill>
      <xdr:spPr>
        <a:xfrm>
          <a:off x="1490980" y="71645780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1" name="ID_6E527D7739E74746A4A837B75448EB4E" descr="赛尔号海德拉"/>
        <xdr:cNvPicPr>
          <a:picLocks noChangeAspect="1"/>
        </xdr:cNvPicPr>
      </xdr:nvPicPr>
      <xdr:blipFill>
        <a:blip r:embed="rId67" r:link="rId3"/>
        <a:stretch>
          <a:fillRect/>
        </a:stretch>
      </xdr:blipFill>
      <xdr:spPr>
        <a:xfrm>
          <a:off x="1473835" y="7279703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2" name="ID_F73C98B04F494050B175B81C310E9B9C" descr="赛尔号宾尼纳拉"/>
        <xdr:cNvPicPr>
          <a:picLocks noChangeAspect="1"/>
        </xdr:cNvPicPr>
      </xdr:nvPicPr>
      <xdr:blipFill>
        <a:blip r:embed="rId68" r:link="rId3"/>
        <a:stretch>
          <a:fillRect/>
        </a:stretch>
      </xdr:blipFill>
      <xdr:spPr>
        <a:xfrm>
          <a:off x="1490980" y="73945750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3" name="ID_BDFF2215B06B4FDDB07DBF2494DB14AA" descr="赛尔号艾贝多芬"/>
        <xdr:cNvPicPr>
          <a:picLocks noChangeAspect="1"/>
        </xdr:cNvPicPr>
      </xdr:nvPicPr>
      <xdr:blipFill>
        <a:blip r:embed="rId69" r:link="rId3"/>
        <a:stretch>
          <a:fillRect/>
        </a:stretch>
      </xdr:blipFill>
      <xdr:spPr>
        <a:xfrm>
          <a:off x="1437640" y="7507732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4" name="ID_F7DAA8E49FAB4861A7367AE2B720C775" descr="赛尔号萨洛姆斯"/>
        <xdr:cNvPicPr>
          <a:picLocks noChangeAspect="1"/>
        </xdr:cNvPicPr>
      </xdr:nvPicPr>
      <xdr:blipFill>
        <a:blip r:embed="rId70" r:link="rId3"/>
        <a:stretch>
          <a:fillRect/>
        </a:stretch>
      </xdr:blipFill>
      <xdr:spPr>
        <a:xfrm>
          <a:off x="1401445" y="7621905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5" name="ID_ADF184A6489B41E8BCE8082D9F3BCDC8" descr="赛尔号嘟噜噜王"/>
        <xdr:cNvPicPr>
          <a:picLocks noChangeAspect="1"/>
        </xdr:cNvPicPr>
      </xdr:nvPicPr>
      <xdr:blipFill>
        <a:blip r:embed="rId71" r:link="rId3"/>
        <a:stretch>
          <a:fillRect/>
        </a:stretch>
      </xdr:blipFill>
      <xdr:spPr>
        <a:xfrm>
          <a:off x="1508760" y="7722298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6" name="ID_197E0AAAFBA540AFB085001A2005F983" descr="赛尔号嘟咕噜王"/>
        <xdr:cNvPicPr>
          <a:picLocks noChangeAspect="1"/>
        </xdr:cNvPicPr>
      </xdr:nvPicPr>
      <xdr:blipFill>
        <a:blip r:embed="rId72" r:link="rId3"/>
        <a:stretch>
          <a:fillRect/>
        </a:stretch>
      </xdr:blipFill>
      <xdr:spPr>
        <a:xfrm>
          <a:off x="1509395" y="7848155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7" name="ID_13D087002BF0422E9A7526112B445309" descr="赛尔号埃里克斯"/>
        <xdr:cNvPicPr>
          <a:picLocks noChangeAspect="1"/>
        </xdr:cNvPicPr>
      </xdr:nvPicPr>
      <xdr:blipFill>
        <a:blip r:embed="rId73" r:link="rId3"/>
        <a:stretch>
          <a:fillRect/>
        </a:stretch>
      </xdr:blipFill>
      <xdr:spPr>
        <a:xfrm>
          <a:off x="1706245" y="7985633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8" name="ID_B12E446245A646DB90A0E84436710CE8" descr="赛尔号盖亚"/>
        <xdr:cNvPicPr>
          <a:picLocks noChangeAspect="1"/>
        </xdr:cNvPicPr>
      </xdr:nvPicPr>
      <xdr:blipFill>
        <a:blip r:embed="rId74" r:link="rId3"/>
        <a:stretch>
          <a:fillRect/>
        </a:stretch>
      </xdr:blipFill>
      <xdr:spPr>
        <a:xfrm>
          <a:off x="1572260" y="8086090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9" name="ID_B02D8377A29B4223A725ACC3F7D2413D" descr="赛尔号奈尼芬多"/>
        <xdr:cNvPicPr>
          <a:picLocks noChangeAspect="1"/>
        </xdr:cNvPicPr>
      </xdr:nvPicPr>
      <xdr:blipFill>
        <a:blip r:embed="rId75" r:link="rId3"/>
        <a:stretch>
          <a:fillRect/>
        </a:stretch>
      </xdr:blipFill>
      <xdr:spPr>
        <a:xfrm>
          <a:off x="1383665" y="81671160"/>
          <a:ext cx="1078865" cy="11417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0" name="ID_DBCC8711B5AC49FF99C8C830D4A9994C" descr="赛尔号帕格尼尼"/>
        <xdr:cNvPicPr>
          <a:picLocks noChangeAspect="1"/>
        </xdr:cNvPicPr>
      </xdr:nvPicPr>
      <xdr:blipFill>
        <a:blip r:embed="rId76" r:link="rId3"/>
        <a:stretch>
          <a:fillRect/>
        </a:stretch>
      </xdr:blipFill>
      <xdr:spPr>
        <a:xfrm>
          <a:off x="1428115" y="8283003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1" name="ID_3226EFD414354A4AB2FA693A5F88FE9F" descr="赛尔号乌力朴"/>
        <xdr:cNvPicPr>
          <a:picLocks noChangeAspect="1"/>
        </xdr:cNvPicPr>
      </xdr:nvPicPr>
      <xdr:blipFill>
        <a:blip r:embed="rId77" r:link="rId3"/>
        <a:stretch>
          <a:fillRect/>
        </a:stretch>
      </xdr:blipFill>
      <xdr:spPr>
        <a:xfrm>
          <a:off x="1417955" y="8390763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2" name="ID_18A8913FD390443C9070F87CB8E67D57" descr="赛尔号刹洛眼"/>
        <xdr:cNvPicPr>
          <a:picLocks noChangeAspect="1"/>
        </xdr:cNvPicPr>
      </xdr:nvPicPr>
      <xdr:blipFill>
        <a:blip r:embed="rId78" r:link="rId3"/>
        <a:stretch>
          <a:fillRect/>
        </a:stretch>
      </xdr:blipFill>
      <xdr:spPr>
        <a:xfrm>
          <a:off x="1392555" y="8503031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3" name="ID_B21B037D86D04CBAAF36D16C4C7EDCD1" descr="赛尔号迪修眼"/>
        <xdr:cNvPicPr>
          <a:picLocks noChangeAspect="1"/>
        </xdr:cNvPicPr>
      </xdr:nvPicPr>
      <xdr:blipFill>
        <a:blip r:embed="rId79" r:link="rId3"/>
        <a:stretch>
          <a:fillRect/>
        </a:stretch>
      </xdr:blipFill>
      <xdr:spPr>
        <a:xfrm>
          <a:off x="1544955" y="8625967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4" name="ID_C1348CDA08E049C9A1A49DC47353E9A2" descr="赛尔号詹士眼"/>
        <xdr:cNvPicPr>
          <a:picLocks noChangeAspect="1"/>
        </xdr:cNvPicPr>
      </xdr:nvPicPr>
      <xdr:blipFill>
        <a:blip r:embed="rId80" r:link="rId3"/>
        <a:stretch>
          <a:fillRect/>
        </a:stretch>
      </xdr:blipFill>
      <xdr:spPr>
        <a:xfrm>
          <a:off x="1410335" y="8722233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5" name="ID_FBB67C47E8DB4D98A7183027680846DE" descr="赛尔号塔克林"/>
        <xdr:cNvPicPr>
          <a:picLocks noChangeAspect="1"/>
        </xdr:cNvPicPr>
      </xdr:nvPicPr>
      <xdr:blipFill>
        <a:blip r:embed="rId81" r:link="rId3"/>
        <a:stretch>
          <a:fillRect/>
        </a:stretch>
      </xdr:blipFill>
      <xdr:spPr>
        <a:xfrm>
          <a:off x="1383665" y="8828087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6" name="ID_7FB7A4D80A2E4C41959B209FAE0DEBC5" descr="赛尔号尹泰拉多"/>
        <xdr:cNvPicPr>
          <a:picLocks noChangeAspect="1"/>
        </xdr:cNvPicPr>
      </xdr:nvPicPr>
      <xdr:blipFill>
        <a:blip r:embed="rId82" r:link="rId3"/>
        <a:stretch>
          <a:fillRect/>
        </a:stretch>
      </xdr:blipFill>
      <xdr:spPr>
        <a:xfrm>
          <a:off x="1402080" y="8947658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7" name="ID_4262EABEA2D5437F8B9E10E13E2DDC8F" descr="赛尔号沙罗希瓦"/>
        <xdr:cNvPicPr>
          <a:picLocks noChangeAspect="1"/>
        </xdr:cNvPicPr>
      </xdr:nvPicPr>
      <xdr:blipFill>
        <a:blip r:embed="rId83" r:link="rId3"/>
        <a:stretch>
          <a:fillRect/>
        </a:stretch>
      </xdr:blipFill>
      <xdr:spPr>
        <a:xfrm>
          <a:off x="1365885" y="90445590"/>
          <a:ext cx="1024890" cy="108013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8" name="ID_32438FA34629475481B7FECB98BB7174" descr="赛尔号伶俐雕"/>
        <xdr:cNvPicPr>
          <a:picLocks noChangeAspect="1"/>
        </xdr:cNvPicPr>
      </xdr:nvPicPr>
      <xdr:blipFill>
        <a:blip r:embed="rId84" r:link="rId3"/>
        <a:stretch>
          <a:fillRect/>
        </a:stretch>
      </xdr:blipFill>
      <xdr:spPr>
        <a:xfrm>
          <a:off x="1419225" y="9178353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9" name="ID_E44D9DDD7C2E4CEF944C63E0FB385B27" descr="赛尔号闪光电击兔"/>
        <xdr:cNvPicPr>
          <a:picLocks noChangeAspect="1"/>
        </xdr:cNvPicPr>
      </xdr:nvPicPr>
      <xdr:blipFill>
        <a:blip r:embed="rId85" r:link="rId3"/>
        <a:stretch>
          <a:fillRect/>
        </a:stretch>
      </xdr:blipFill>
      <xdr:spPr>
        <a:xfrm>
          <a:off x="1590040" y="92897960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0" name="ID_D9FF63000927489F88BCE544B7670020" descr="赛尔号厄斯沃姆"/>
        <xdr:cNvPicPr>
          <a:picLocks noChangeAspect="1"/>
        </xdr:cNvPicPr>
      </xdr:nvPicPr>
      <xdr:blipFill>
        <a:blip r:embed="rId86" r:link="rId3"/>
        <a:stretch>
          <a:fillRect/>
        </a:stretch>
      </xdr:blipFill>
      <xdr:spPr>
        <a:xfrm>
          <a:off x="1383665" y="9385935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1" name="ID_543094593EC644E7A7E991EF5B19103F" descr="赛尔号约凡撒 "/>
        <xdr:cNvPicPr>
          <a:picLocks noChangeAspect="1"/>
        </xdr:cNvPicPr>
      </xdr:nvPicPr>
      <xdr:blipFill>
        <a:blip r:embed="rId87" r:link="rId3"/>
        <a:stretch>
          <a:fillRect/>
        </a:stretch>
      </xdr:blipFill>
      <xdr:spPr>
        <a:xfrm>
          <a:off x="1527175" y="9517126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2" name="ID_211C826BFC89469FB50D93E93F30491D" descr="赛尔号弗里昂"/>
        <xdr:cNvPicPr>
          <a:picLocks noChangeAspect="1"/>
        </xdr:cNvPicPr>
      </xdr:nvPicPr>
      <xdr:blipFill>
        <a:blip r:embed="rId88" r:link="rId3"/>
        <a:stretch>
          <a:fillRect/>
        </a:stretch>
      </xdr:blipFill>
      <xdr:spPr>
        <a:xfrm>
          <a:off x="1419860" y="9623806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3" name="ID_3D6D1B8E9CB1450DBEAB9955FEE8BBEF" descr="赛尔号迷你果"/>
        <xdr:cNvPicPr>
          <a:picLocks noChangeAspect="1"/>
        </xdr:cNvPicPr>
      </xdr:nvPicPr>
      <xdr:blipFill>
        <a:blip r:embed="rId89" r:link="rId3"/>
        <a:stretch>
          <a:fillRect/>
        </a:stretch>
      </xdr:blipFill>
      <xdr:spPr>
        <a:xfrm>
          <a:off x="1544955" y="9723628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4" name="ID_472F1567CDC94C20932192B1D0B49DE7" descr="赛尔号艾尔伊洛"/>
        <xdr:cNvPicPr>
          <a:picLocks noChangeAspect="1"/>
        </xdr:cNvPicPr>
      </xdr:nvPicPr>
      <xdr:blipFill>
        <a:blip r:embed="rId90" r:link="rId3"/>
        <a:stretch>
          <a:fillRect/>
        </a:stretch>
      </xdr:blipFill>
      <xdr:spPr>
        <a:xfrm>
          <a:off x="1374140" y="98367850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5" name="ID_3BC29684F79C42D7A3D2E3A4C7027E6F" descr="赛尔号猛虎王"/>
        <xdr:cNvPicPr>
          <a:picLocks noChangeAspect="1"/>
        </xdr:cNvPicPr>
      </xdr:nvPicPr>
      <xdr:blipFill>
        <a:blip r:embed="rId91" r:link="rId3"/>
        <a:stretch>
          <a:fillRect/>
        </a:stretch>
      </xdr:blipFill>
      <xdr:spPr>
        <a:xfrm>
          <a:off x="1428115" y="9950005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6" name="ID_7B3E0F3389A24B90B0F55B3F4DECEC4A" descr="赛尔号谱尼"/>
        <xdr:cNvPicPr>
          <a:picLocks noChangeAspect="1"/>
        </xdr:cNvPicPr>
      </xdr:nvPicPr>
      <xdr:blipFill>
        <a:blip r:embed="rId92" r:link="rId3"/>
        <a:stretch>
          <a:fillRect/>
        </a:stretch>
      </xdr:blipFill>
      <xdr:spPr>
        <a:xfrm>
          <a:off x="1392555" y="100523675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7" name="ID_4578F0D9734E46AAAD6B129DFBA3C41E" descr="赛尔号丽莎布布"/>
        <xdr:cNvPicPr>
          <a:picLocks noChangeAspect="1"/>
        </xdr:cNvPicPr>
      </xdr:nvPicPr>
      <xdr:blipFill>
        <a:blip r:embed="rId93" r:link="rId3"/>
        <a:stretch>
          <a:fillRect/>
        </a:stretch>
      </xdr:blipFill>
      <xdr:spPr>
        <a:xfrm>
          <a:off x="1544955" y="10178224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8" name="ID_DE9963195420409EB8250AF83F4942AB" descr="赛尔号鲁斯王"/>
        <xdr:cNvPicPr>
          <a:picLocks noChangeAspect="1"/>
        </xdr:cNvPicPr>
      </xdr:nvPicPr>
      <xdr:blipFill>
        <a:blip r:embed="rId94" r:link="rId3"/>
        <a:stretch>
          <a:fillRect/>
        </a:stretch>
      </xdr:blipFill>
      <xdr:spPr>
        <a:xfrm>
          <a:off x="1499870" y="10285158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9" name="ID_234C77166547483A9A1203CA266629D5" descr="赛尔号魔焰猩猩"/>
        <xdr:cNvPicPr>
          <a:picLocks noChangeAspect="1"/>
        </xdr:cNvPicPr>
      </xdr:nvPicPr>
      <xdr:blipFill>
        <a:blip r:embed="rId95" r:link="rId3"/>
        <a:stretch>
          <a:fillRect/>
        </a:stretch>
      </xdr:blipFill>
      <xdr:spPr>
        <a:xfrm>
          <a:off x="1392555" y="103901240"/>
          <a:ext cx="102489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0" name="ID_C4E70F3F8103408CAB25EFB53CF1BD25" descr="赛尔号闪光艾菲亚"/>
        <xdr:cNvPicPr>
          <a:picLocks noChangeAspect="1"/>
        </xdr:cNvPicPr>
      </xdr:nvPicPr>
      <xdr:blipFill>
        <a:blip r:embed="rId96" r:link="rId3"/>
        <a:stretch>
          <a:fillRect/>
        </a:stretch>
      </xdr:blipFill>
      <xdr:spPr>
        <a:xfrm>
          <a:off x="1473200" y="10513123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1" name="ID_C93B8204F5544F269EBD8C5F9DC54666" descr="赛尔号卡鲁耶克"/>
        <xdr:cNvPicPr>
          <a:picLocks noChangeAspect="1"/>
        </xdr:cNvPicPr>
      </xdr:nvPicPr>
      <xdr:blipFill>
        <a:blip r:embed="rId97" r:link="rId3"/>
        <a:stretch>
          <a:fillRect/>
        </a:stretch>
      </xdr:blipFill>
      <xdr:spPr>
        <a:xfrm>
          <a:off x="1338580" y="10608500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2" name="ID_BA2AF0DE7B3143D5969E0557F2FB3C77" descr="赛尔号卡鲁克斯"/>
        <xdr:cNvPicPr>
          <a:picLocks noChangeAspect="1"/>
        </xdr:cNvPicPr>
      </xdr:nvPicPr>
      <xdr:blipFill>
        <a:blip r:embed="rId98" r:link="rId3"/>
        <a:stretch>
          <a:fillRect/>
        </a:stretch>
      </xdr:blipFill>
      <xdr:spPr>
        <a:xfrm>
          <a:off x="1374775" y="10726928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3" name="ID_36A917E2A2914D08A785BD60F2DDE2BC" descr="赛尔号哈尔翼蜂"/>
        <xdr:cNvPicPr>
          <a:picLocks noChangeAspect="1"/>
        </xdr:cNvPicPr>
      </xdr:nvPicPr>
      <xdr:blipFill>
        <a:blip r:embed="rId99" r:link="rId3"/>
        <a:stretch>
          <a:fillRect/>
        </a:stretch>
      </xdr:blipFill>
      <xdr:spPr>
        <a:xfrm>
          <a:off x="1311910" y="10832147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4" name="ID_B8DCD42368F34AD4837D5A489F5DD18F" descr="赛尔号古雷亚"/>
        <xdr:cNvPicPr>
          <a:picLocks noChangeAspect="1"/>
        </xdr:cNvPicPr>
      </xdr:nvPicPr>
      <xdr:blipFill>
        <a:blip r:embed="rId100" r:link="rId3"/>
        <a:stretch>
          <a:fillRect/>
        </a:stretch>
      </xdr:blipFill>
      <xdr:spPr>
        <a:xfrm>
          <a:off x="1320800" y="10942637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5" name="ID_3B3BD1C9FB7646EE9D71F5E1252034ED" descr="赛尔号塞拉兔"/>
        <xdr:cNvPicPr>
          <a:picLocks noChangeAspect="1"/>
        </xdr:cNvPicPr>
      </xdr:nvPicPr>
      <xdr:blipFill>
        <a:blip r:embed="rId101" r:link="rId3"/>
        <a:stretch>
          <a:fillRect/>
        </a:stretch>
      </xdr:blipFill>
      <xdr:spPr>
        <a:xfrm>
          <a:off x="1374775" y="11060176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6" name="ID_92DDDC72502143B9A9A7751C15247977" descr="赛尔号辛娜斯"/>
        <xdr:cNvPicPr>
          <a:picLocks noChangeAspect="1"/>
        </xdr:cNvPicPr>
      </xdr:nvPicPr>
      <xdr:blipFill>
        <a:blip r:embed="rId102" r:link="rId3"/>
        <a:stretch>
          <a:fillRect/>
        </a:stretch>
      </xdr:blipFill>
      <xdr:spPr>
        <a:xfrm>
          <a:off x="1437640" y="11168951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7" name="ID_34718F4C38854357A9B2E4B65B3C8F12" descr="赛尔号伊达"/>
        <xdr:cNvPicPr>
          <a:picLocks noChangeAspect="1"/>
        </xdr:cNvPicPr>
      </xdr:nvPicPr>
      <xdr:blipFill>
        <a:blip r:embed="rId103" r:link="rId3"/>
        <a:stretch>
          <a:fillRect/>
        </a:stretch>
      </xdr:blipFill>
      <xdr:spPr>
        <a:xfrm>
          <a:off x="1392555" y="11279314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8" name="ID_B8D59040206C4DB797415D9031FA8825" descr="赛尔号多鲁鲁斯"/>
        <xdr:cNvPicPr>
          <a:picLocks noChangeAspect="1"/>
        </xdr:cNvPicPr>
      </xdr:nvPicPr>
      <xdr:blipFill>
        <a:blip r:embed="rId104" r:link="rId3"/>
        <a:stretch>
          <a:fillRect/>
        </a:stretch>
      </xdr:blipFill>
      <xdr:spPr>
        <a:xfrm>
          <a:off x="1356995" y="11386375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9" name="ID_A8412B5E3AF04AA8B5AF44F5325EB1EB" descr="赛尔号赤西西比"/>
        <xdr:cNvPicPr>
          <a:picLocks noChangeAspect="1"/>
        </xdr:cNvPicPr>
      </xdr:nvPicPr>
      <xdr:blipFill>
        <a:blip r:embed="rId105" r:link="rId3"/>
        <a:stretch>
          <a:fillRect/>
        </a:stretch>
      </xdr:blipFill>
      <xdr:spPr>
        <a:xfrm>
          <a:off x="1536065" y="11508359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0" name="ID_42F20B030B77418DA25C798CB983B607" descr="赛尔号托雷塔斯"/>
        <xdr:cNvPicPr>
          <a:picLocks noChangeAspect="1"/>
        </xdr:cNvPicPr>
      </xdr:nvPicPr>
      <xdr:blipFill>
        <a:blip r:embed="rId106" r:link="rId3"/>
        <a:stretch>
          <a:fillRect/>
        </a:stretch>
      </xdr:blipFill>
      <xdr:spPr>
        <a:xfrm>
          <a:off x="1392555" y="11624246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1" name="ID_33230FC5AC31453AA8D7880A31996769" descr="赛尔号索比拉特"/>
        <xdr:cNvPicPr>
          <a:picLocks noChangeAspect="1"/>
        </xdr:cNvPicPr>
      </xdr:nvPicPr>
      <xdr:blipFill>
        <a:blip r:embed="rId107" r:link="rId3"/>
        <a:stretch>
          <a:fillRect/>
        </a:stretch>
      </xdr:blipFill>
      <xdr:spPr>
        <a:xfrm>
          <a:off x="1410335" y="11726735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2" name="ID_EB80CB92F8FD4630998AEB396D832D70" descr="赛尔号巨镰鸟"/>
        <xdr:cNvPicPr>
          <a:picLocks noChangeAspect="1"/>
        </xdr:cNvPicPr>
      </xdr:nvPicPr>
      <xdr:blipFill>
        <a:blip r:embed="rId108" r:link="rId3"/>
        <a:stretch>
          <a:fillRect/>
        </a:stretch>
      </xdr:blipFill>
      <xdr:spPr>
        <a:xfrm>
          <a:off x="1732915" y="11874817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3" name="ID_F816899F7FF04ABB8A0D11ADA6682AE9" descr="赛尔号远古鱼龙"/>
        <xdr:cNvPicPr>
          <a:picLocks noChangeAspect="1"/>
        </xdr:cNvPicPr>
      </xdr:nvPicPr>
      <xdr:blipFill>
        <a:blip r:embed="rId109" r:link="rId3"/>
        <a:stretch>
          <a:fillRect/>
        </a:stretch>
      </xdr:blipFill>
      <xdr:spPr>
        <a:xfrm>
          <a:off x="1330325" y="11942381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4" name="ID_CF02AEB60F1C4AB2A54B32FD7D1DD601" descr="赛尔号夏洛犬"/>
        <xdr:cNvPicPr>
          <a:picLocks noChangeAspect="1"/>
        </xdr:cNvPicPr>
      </xdr:nvPicPr>
      <xdr:blipFill>
        <a:blip r:embed="rId110" r:link="rId3"/>
        <a:stretch>
          <a:fillRect/>
        </a:stretch>
      </xdr:blipFill>
      <xdr:spPr>
        <a:xfrm>
          <a:off x="1446530" y="12059856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5" name="ID_8674A893591146D8A1DE313B9494F8EB" descr="赛尔号迪斯凯特"/>
        <xdr:cNvPicPr>
          <a:picLocks noChangeAspect="1"/>
        </xdr:cNvPicPr>
      </xdr:nvPicPr>
      <xdr:blipFill>
        <a:blip r:embed="rId111" r:link="rId3"/>
        <a:stretch>
          <a:fillRect/>
        </a:stretch>
      </xdr:blipFill>
      <xdr:spPr>
        <a:xfrm>
          <a:off x="1401445" y="121712990"/>
          <a:ext cx="102298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6" name="ID_92D7295B738B4BE886A98E8BE089FD2E" descr="赛尔号斯加尔卡"/>
        <xdr:cNvPicPr>
          <a:picLocks noChangeAspect="1"/>
        </xdr:cNvPicPr>
      </xdr:nvPicPr>
      <xdr:blipFill>
        <a:blip r:embed="rId112" r:link="rId3"/>
        <a:stretch>
          <a:fillRect/>
        </a:stretch>
      </xdr:blipFill>
      <xdr:spPr>
        <a:xfrm>
          <a:off x="1482090" y="123078875"/>
          <a:ext cx="102298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7" name="ID_249AC7C551334F70B601CBACD86D774C" descr="赛尔号布林克克"/>
        <xdr:cNvPicPr>
          <a:picLocks noChangeAspect="1"/>
        </xdr:cNvPicPr>
      </xdr:nvPicPr>
      <xdr:blipFill>
        <a:blip r:embed="rId113" r:link="rId3"/>
        <a:stretch>
          <a:fillRect/>
        </a:stretch>
      </xdr:blipFill>
      <xdr:spPr>
        <a:xfrm>
          <a:off x="1563370" y="124289820"/>
          <a:ext cx="1022985" cy="10782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8" name="ID_9E1271ECA3E842AD993BC6F7B768A8A8" descr="赛尔号艾丝柏"/>
        <xdr:cNvPicPr>
          <a:picLocks noChangeAspect="1"/>
        </xdr:cNvPicPr>
      </xdr:nvPicPr>
      <xdr:blipFill>
        <a:blip r:embed="rId114" r:link="rId3"/>
        <a:stretch>
          <a:fillRect/>
        </a:stretch>
      </xdr:blipFill>
      <xdr:spPr>
        <a:xfrm>
          <a:off x="1482725" y="125328680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9" name="ID_FCD475DCBB1D481C9F867D52CFD3F9C7" descr="赛尔号鲁比克"/>
        <xdr:cNvPicPr>
          <a:picLocks noChangeAspect="1"/>
        </xdr:cNvPicPr>
      </xdr:nvPicPr>
      <xdr:blipFill>
        <a:blip r:embed="rId115" r:link="rId3"/>
        <a:stretch>
          <a:fillRect/>
        </a:stretch>
      </xdr:blipFill>
      <xdr:spPr>
        <a:xfrm>
          <a:off x="1374775" y="12629769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0" name="ID_F2C71426184447E9863D39377DE65AD1" descr="赛尔号火爆鼠"/>
        <xdr:cNvPicPr>
          <a:picLocks noChangeAspect="1"/>
        </xdr:cNvPicPr>
      </xdr:nvPicPr>
      <xdr:blipFill>
        <a:blip r:embed="rId116" r:link="rId3"/>
        <a:stretch>
          <a:fillRect/>
        </a:stretch>
      </xdr:blipFill>
      <xdr:spPr>
        <a:xfrm>
          <a:off x="1347470" y="12751181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1" name="ID_469F8653269C4CB9A2CBBBB0E03C45D1" descr="赛尔号海纹蝶"/>
        <xdr:cNvPicPr>
          <a:picLocks noChangeAspect="1"/>
        </xdr:cNvPicPr>
      </xdr:nvPicPr>
      <xdr:blipFill>
        <a:blip r:embed="rId117" r:link="rId3"/>
        <a:stretch>
          <a:fillRect/>
        </a:stretch>
      </xdr:blipFill>
      <xdr:spPr>
        <a:xfrm>
          <a:off x="1401445" y="12863195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2" name="ID_B9671C053FC049E39B13D789265DCE8A" descr="赛尔号炽翼蝶"/>
        <xdr:cNvPicPr>
          <a:picLocks noChangeAspect="1"/>
        </xdr:cNvPicPr>
      </xdr:nvPicPr>
      <xdr:blipFill>
        <a:blip r:embed="rId118" r:link="rId3"/>
        <a:stretch>
          <a:fillRect/>
        </a:stretch>
      </xdr:blipFill>
      <xdr:spPr>
        <a:xfrm>
          <a:off x="1652270" y="12995338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3" name="ID_17199843C3C7402C89513150CC9F7A72" descr="赛尔号橡木蝶"/>
        <xdr:cNvPicPr>
          <a:picLocks noChangeAspect="1"/>
        </xdr:cNvPicPr>
      </xdr:nvPicPr>
      <xdr:blipFill>
        <a:blip r:embed="rId119" r:link="rId3"/>
        <a:stretch>
          <a:fillRect/>
        </a:stretch>
      </xdr:blipFill>
      <xdr:spPr>
        <a:xfrm>
          <a:off x="1419860" y="13080809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4" name="ID_6E7692EB4F5847E8B28A106C5F2907F5" descr="赛尔号奎比历斯"/>
        <xdr:cNvPicPr>
          <a:picLocks noChangeAspect="1"/>
        </xdr:cNvPicPr>
      </xdr:nvPicPr>
      <xdr:blipFill>
        <a:blip r:embed="rId120" r:link="rId3"/>
        <a:stretch>
          <a:fillRect/>
        </a:stretch>
      </xdr:blipFill>
      <xdr:spPr>
        <a:xfrm>
          <a:off x="1392555" y="13197459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5" name="ID_DAD5D46CF5574C4EB0BA4797F8E5FE67" descr="赛尔号隆米尔"/>
        <xdr:cNvPicPr>
          <a:picLocks noChangeAspect="1"/>
        </xdr:cNvPicPr>
      </xdr:nvPicPr>
      <xdr:blipFill>
        <a:blip r:embed="rId121" r:link="rId3"/>
        <a:stretch>
          <a:fillRect/>
        </a:stretch>
      </xdr:blipFill>
      <xdr:spPr>
        <a:xfrm>
          <a:off x="1329690" y="13313410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6" name="ID_6DA6CC5579174F96B9F0531E6C34FDFC" descr="赛尔号寄主岩"/>
        <xdr:cNvPicPr>
          <a:picLocks noChangeAspect="1"/>
        </xdr:cNvPicPr>
      </xdr:nvPicPr>
      <xdr:blipFill>
        <a:blip r:embed="rId122" r:link="rId3"/>
        <a:stretch>
          <a:fillRect/>
        </a:stretch>
      </xdr:blipFill>
      <xdr:spPr>
        <a:xfrm>
          <a:off x="1329690" y="134183120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7" name="ID_5FC6D48ECD00495499C6072ADD092FAF" descr="赛尔号凯凯西朴"/>
        <xdr:cNvPicPr>
          <a:picLocks noChangeAspect="1"/>
        </xdr:cNvPicPr>
      </xdr:nvPicPr>
      <xdr:blipFill>
        <a:blip r:embed="rId123" r:link="rId3"/>
        <a:stretch>
          <a:fillRect/>
        </a:stretch>
      </xdr:blipFill>
      <xdr:spPr>
        <a:xfrm>
          <a:off x="1518285" y="13532485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8" name="ID_B4FE56C36D1B41F7AB7B39E889750972" descr="赛尔号史拉达"/>
        <xdr:cNvPicPr>
          <a:picLocks noChangeAspect="1"/>
        </xdr:cNvPicPr>
      </xdr:nvPicPr>
      <xdr:blipFill>
        <a:blip r:embed="rId124" r:link="rId3"/>
        <a:stretch>
          <a:fillRect/>
        </a:stretch>
      </xdr:blipFill>
      <xdr:spPr>
        <a:xfrm>
          <a:off x="1419225" y="136403715"/>
          <a:ext cx="1024890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9" name="ID_CB9E9EE2A6644AEB9B7571D07B401835" descr="赛尔号波戈"/>
        <xdr:cNvPicPr>
          <a:picLocks noChangeAspect="1"/>
        </xdr:cNvPicPr>
      </xdr:nvPicPr>
      <xdr:blipFill>
        <a:blip r:embed="rId125" r:link="rId3"/>
        <a:stretch>
          <a:fillRect/>
        </a:stretch>
      </xdr:blipFill>
      <xdr:spPr>
        <a:xfrm>
          <a:off x="1409700" y="137695305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0" name="ID_58A1BC6ABFB041598F325050E5AC840A" descr="赛尔号基维奥拉"/>
        <xdr:cNvPicPr>
          <a:picLocks noChangeAspect="1"/>
        </xdr:cNvPicPr>
      </xdr:nvPicPr>
      <xdr:blipFill>
        <a:blip r:embed="rId126" r:link="rId3"/>
        <a:stretch>
          <a:fillRect/>
        </a:stretch>
      </xdr:blipFill>
      <xdr:spPr>
        <a:xfrm>
          <a:off x="1435735" y="138692890"/>
          <a:ext cx="1023620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1" name="ID_F867F388649F4F4390AF584D82CBF2CE" descr="赛尔号辛奇帕克"/>
        <xdr:cNvPicPr>
          <a:picLocks noChangeAspect="1"/>
        </xdr:cNvPicPr>
      </xdr:nvPicPr>
      <xdr:blipFill>
        <a:blip r:embed="rId127" r:link="rId3"/>
        <a:stretch>
          <a:fillRect/>
        </a:stretch>
      </xdr:blipFill>
      <xdr:spPr>
        <a:xfrm>
          <a:off x="1303020" y="139780010"/>
          <a:ext cx="1024255" cy="1082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2" name="ID_09CD23762A374A3C81C497504F6D16B2" descr="赛尔号塔西亚"/>
        <xdr:cNvPicPr>
          <a:picLocks noChangeAspect="1"/>
        </xdr:cNvPicPr>
      </xdr:nvPicPr>
      <xdr:blipFill>
        <a:blip r:embed="rId128" r:link="rId3"/>
        <a:stretch>
          <a:fillRect/>
        </a:stretch>
      </xdr:blipFill>
      <xdr:spPr>
        <a:xfrm>
          <a:off x="1410335" y="140867765"/>
          <a:ext cx="102425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4" name="ID_06A25767795B4E3B8B5F925145543D71"/>
        <xdr:cNvPicPr>
          <a:picLocks noChangeAspect="1"/>
        </xdr:cNvPicPr>
      </xdr:nvPicPr>
      <xdr:blipFill>
        <a:blip r:embed="rId129" r:link="rId3"/>
        <a:stretch>
          <a:fillRect/>
        </a:stretch>
      </xdr:blipFill>
      <xdr:spPr>
        <a:xfrm>
          <a:off x="1508760" y="142062835"/>
          <a:ext cx="997585" cy="10820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5" name="ID_C6936CA541EC400D96528D36D5BAABC2" descr="赛尔号龙须蝴"/>
        <xdr:cNvPicPr>
          <a:picLocks noChangeAspect="1"/>
        </xdr:cNvPicPr>
      </xdr:nvPicPr>
      <xdr:blipFill>
        <a:blip r:embed="rId130" r:link="rId3"/>
        <a:stretch>
          <a:fillRect/>
        </a:stretch>
      </xdr:blipFill>
      <xdr:spPr>
        <a:xfrm>
          <a:off x="1478280" y="14313852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6" name="ID_D6CAF35A691A4964BEA326C16A1F41A5" descr="赛尔号萨帕克"/>
        <xdr:cNvPicPr>
          <a:picLocks noChangeAspect="1"/>
        </xdr:cNvPicPr>
      </xdr:nvPicPr>
      <xdr:blipFill>
        <a:blip r:embed="rId131" r:link="rId3"/>
        <a:stretch>
          <a:fillRect/>
        </a:stretch>
      </xdr:blipFill>
      <xdr:spPr>
        <a:xfrm>
          <a:off x="1661160" y="14438185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7" name="ID_4BFDE43A80124CC6A9839F55A8035159" descr="赛尔号泰瑞"/>
        <xdr:cNvPicPr>
          <a:picLocks noChangeAspect="1"/>
        </xdr:cNvPicPr>
      </xdr:nvPicPr>
      <xdr:blipFill>
        <a:blip r:embed="rId132" r:link="rId3"/>
        <a:stretch>
          <a:fillRect/>
        </a:stretch>
      </xdr:blipFill>
      <xdr:spPr>
        <a:xfrm>
          <a:off x="1234440" y="145204815"/>
          <a:ext cx="2438400" cy="25755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8" name="ID_BA1471220E3A4CC5B0CD00CD6A83DF45" descr="赛尔号提姆提姆"/>
        <xdr:cNvPicPr>
          <a:picLocks noChangeAspect="1"/>
        </xdr:cNvPicPr>
      </xdr:nvPicPr>
      <xdr:blipFill>
        <a:blip r:embed="rId133" r:link="rId3"/>
        <a:stretch>
          <a:fillRect/>
        </a:stretch>
      </xdr:blipFill>
      <xdr:spPr>
        <a:xfrm>
          <a:off x="1394460" y="14657133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9" name="ID_3112AFC613414B91876D228C4AE833AC" descr="赛尔号沙恩克"/>
        <xdr:cNvPicPr>
          <a:picLocks noChangeAspect="1"/>
        </xdr:cNvPicPr>
      </xdr:nvPicPr>
      <xdr:blipFill>
        <a:blip r:embed="rId134" r:link="rId3"/>
        <a:stretch>
          <a:fillRect/>
        </a:stretch>
      </xdr:blipFill>
      <xdr:spPr>
        <a:xfrm>
          <a:off x="1356360" y="14754034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0" name="ID_85A9E84CCEAD41AABF9986C7B88A18F4" descr="赛尔号闪光格鲁高"/>
        <xdr:cNvPicPr>
          <a:picLocks noChangeAspect="1"/>
        </xdr:cNvPicPr>
      </xdr:nvPicPr>
      <xdr:blipFill>
        <a:blip r:embed="rId135" r:link="rId3"/>
        <a:stretch>
          <a:fillRect/>
        </a:stretch>
      </xdr:blipFill>
      <xdr:spPr>
        <a:xfrm>
          <a:off x="1493520" y="14884463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1" name="ID_EFBBDC5B0F4A4A70A4DE6B651D0FB340" descr="赛尔号塞维尔"/>
        <xdr:cNvPicPr>
          <a:picLocks noChangeAspect="1"/>
        </xdr:cNvPicPr>
      </xdr:nvPicPr>
      <xdr:blipFill>
        <a:blip r:embed="rId136" r:link="rId3"/>
        <a:stretch>
          <a:fillRect/>
        </a:stretch>
      </xdr:blipFill>
      <xdr:spPr>
        <a:xfrm>
          <a:off x="1318260" y="14975268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2" name="ID_D356BB6EAED04FEA9511D7AEB57AE473" descr="赛尔号乌鲁卡"/>
        <xdr:cNvPicPr>
          <a:picLocks noChangeAspect="1"/>
        </xdr:cNvPicPr>
      </xdr:nvPicPr>
      <xdr:blipFill>
        <a:blip r:embed="rId137" r:link="rId3"/>
        <a:stretch>
          <a:fillRect/>
        </a:stretch>
      </xdr:blipFill>
      <xdr:spPr>
        <a:xfrm>
          <a:off x="1371600" y="15101887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3" name="ID_60E5FC53CEF646FEBCE3E71C28C42A87" descr="赛尔号艾斯菲格"/>
        <xdr:cNvPicPr>
          <a:picLocks noChangeAspect="1"/>
        </xdr:cNvPicPr>
      </xdr:nvPicPr>
      <xdr:blipFill>
        <a:blip r:embed="rId138" r:link="rId3"/>
        <a:stretch>
          <a:fillRect/>
        </a:stretch>
      </xdr:blipFill>
      <xdr:spPr>
        <a:xfrm>
          <a:off x="1402080" y="15207932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4" name="ID_2F627052FB1E4CAF85E218B09D236866" descr="赛尔号厄尔塞拉"/>
        <xdr:cNvPicPr>
          <a:picLocks noChangeAspect="1"/>
        </xdr:cNvPicPr>
      </xdr:nvPicPr>
      <xdr:blipFill>
        <a:blip r:embed="rId139" r:link="rId3"/>
        <a:stretch>
          <a:fillRect/>
        </a:stretch>
      </xdr:blipFill>
      <xdr:spPr>
        <a:xfrm>
          <a:off x="1363980" y="15313977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5" name="ID_AB492C7B7ABD4246A16B99C8C1D44A21" descr="赛尔号克尔加德"/>
        <xdr:cNvPicPr>
          <a:picLocks noChangeAspect="1"/>
        </xdr:cNvPicPr>
      </xdr:nvPicPr>
      <xdr:blipFill>
        <a:blip r:embed="rId140" r:link="rId3"/>
        <a:stretch>
          <a:fillRect/>
        </a:stretch>
      </xdr:blipFill>
      <xdr:spPr>
        <a:xfrm>
          <a:off x="1524000" y="15441358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6" name="ID_CA12AF7EFFC740E991ED16393545A035" descr="赛尔号迪尔科特"/>
        <xdr:cNvPicPr>
          <a:picLocks noChangeAspect="1"/>
        </xdr:cNvPicPr>
      </xdr:nvPicPr>
      <xdr:blipFill>
        <a:blip r:embed="rId141" r:link="rId3"/>
        <a:stretch>
          <a:fillRect/>
        </a:stretch>
      </xdr:blipFill>
      <xdr:spPr>
        <a:xfrm>
          <a:off x="1379220" y="155458795"/>
          <a:ext cx="2438400" cy="25755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7" name="ID_F95289D8FB594CFBA48876BE3397C58D" descr="赛尔号艾克里桑"/>
        <xdr:cNvPicPr>
          <a:picLocks noChangeAspect="1"/>
        </xdr:cNvPicPr>
      </xdr:nvPicPr>
      <xdr:blipFill>
        <a:blip r:embed="rId142" r:link="rId3"/>
        <a:stretch>
          <a:fillRect/>
        </a:stretch>
      </xdr:blipFill>
      <xdr:spPr>
        <a:xfrm>
          <a:off x="1341120" y="15658020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8" name="ID_1B9640AA4B43489EA0AF3E578F5ADBEE" descr="赛尔号鲁尔蒂尼"/>
        <xdr:cNvPicPr>
          <a:picLocks noChangeAspect="1"/>
        </xdr:cNvPicPr>
      </xdr:nvPicPr>
      <xdr:blipFill>
        <a:blip r:embed="rId143" r:link="rId3"/>
        <a:stretch>
          <a:fillRect/>
        </a:stretch>
      </xdr:blipFill>
      <xdr:spPr>
        <a:xfrm>
          <a:off x="1440180" y="15764827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8803C8F4F55C47BDAD981746A7667890"/>
        <xdr:cNvPicPr>
          <a:picLocks noChangeAspect="1"/>
        </xdr:cNvPicPr>
      </xdr:nvPicPr>
      <xdr:blipFill>
        <a:blip r:embed="rId144" r:link="rId3"/>
        <a:stretch>
          <a:fillRect/>
        </a:stretch>
      </xdr:blipFill>
      <xdr:spPr>
        <a:xfrm>
          <a:off x="1303020" y="158685865"/>
          <a:ext cx="1022350" cy="89979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DB0AB2792E2F411488ABC038C3C3FE8E" descr="赛尔号萨诺拉斯"/>
        <xdr:cNvPicPr>
          <a:picLocks noChangeAspect="1"/>
        </xdr:cNvPicPr>
      </xdr:nvPicPr>
      <xdr:blipFill>
        <a:blip r:embed="rId145" r:link="rId3"/>
        <a:stretch>
          <a:fillRect/>
        </a:stretch>
      </xdr:blipFill>
      <xdr:spPr>
        <a:xfrm>
          <a:off x="1234440" y="15968408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FFC6774D17C34067996FAEDC25DCF461" descr="赛尔号魔花使者"/>
        <xdr:cNvPicPr>
          <a:picLocks noChangeAspect="1"/>
        </xdr:cNvPicPr>
      </xdr:nvPicPr>
      <xdr:blipFill>
        <a:blip r:embed="rId146" r:link="rId3"/>
        <a:stretch>
          <a:fillRect/>
        </a:stretch>
      </xdr:blipFill>
      <xdr:spPr>
        <a:xfrm>
          <a:off x="1341120" y="16086010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3" name="ID_837C659722F04F2CB1940D5E9A9452F4" descr="赛尔号莫尔加斯"/>
        <xdr:cNvPicPr>
          <a:picLocks noChangeAspect="1"/>
        </xdr:cNvPicPr>
      </xdr:nvPicPr>
      <xdr:blipFill>
        <a:blip r:embed="rId147" r:link="rId3"/>
        <a:stretch>
          <a:fillRect/>
        </a:stretch>
      </xdr:blipFill>
      <xdr:spPr>
        <a:xfrm>
          <a:off x="1318260" y="162004375"/>
          <a:ext cx="2438400" cy="25755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9" name="ID_E6DF582CCFA24608BEB8DF50B01A8DB0" descr="赛尔号闪光依莱恩"/>
        <xdr:cNvPicPr>
          <a:picLocks noChangeAspect="1"/>
        </xdr:cNvPicPr>
      </xdr:nvPicPr>
      <xdr:blipFill>
        <a:blip r:embed="rId148" r:link="rId3"/>
        <a:stretch>
          <a:fillRect/>
        </a:stretch>
      </xdr:blipFill>
      <xdr:spPr>
        <a:xfrm>
          <a:off x="1234440" y="16302545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0" name="ID_A5DFD90C76A2405AAD21D3A64367E425" descr="赛尔号格兰诺"/>
        <xdr:cNvPicPr>
          <a:picLocks noChangeAspect="1"/>
        </xdr:cNvPicPr>
      </xdr:nvPicPr>
      <xdr:blipFill>
        <a:blip r:embed="rId149" r:link="rId3"/>
        <a:stretch>
          <a:fillRect/>
        </a:stretch>
      </xdr:blipFill>
      <xdr:spPr>
        <a:xfrm>
          <a:off x="1386840" y="16427767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1" name="ID_C4622E0CCA0645CFAD53D63EF9EC2B40" descr="赛尔号格拉诺"/>
        <xdr:cNvPicPr>
          <a:picLocks noChangeAspect="1"/>
        </xdr:cNvPicPr>
      </xdr:nvPicPr>
      <xdr:blipFill>
        <a:blip r:embed="rId150" r:link="rId3"/>
        <a:stretch>
          <a:fillRect/>
        </a:stretch>
      </xdr:blipFill>
      <xdr:spPr>
        <a:xfrm>
          <a:off x="1371600" y="16542194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2" name="ID_06F70C42C3C04D1CB63273A388791347" descr="赛尔号菲拉斯特"/>
        <xdr:cNvPicPr>
          <a:picLocks noChangeAspect="1"/>
        </xdr:cNvPicPr>
      </xdr:nvPicPr>
      <xdr:blipFill>
        <a:blip r:embed="rId151" r:link="rId3"/>
        <a:stretch>
          <a:fillRect/>
        </a:stretch>
      </xdr:blipFill>
      <xdr:spPr>
        <a:xfrm>
          <a:off x="1371600" y="16661193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3" name="ID_ACCAF94CC31F434D8D8B6731E6B2B7F0" descr="赛尔号雷光兽"/>
        <xdr:cNvPicPr>
          <a:picLocks noChangeAspect="1"/>
        </xdr:cNvPicPr>
      </xdr:nvPicPr>
      <xdr:blipFill>
        <a:blip r:embed="rId152" r:link="rId3"/>
        <a:stretch>
          <a:fillRect/>
        </a:stretch>
      </xdr:blipFill>
      <xdr:spPr>
        <a:xfrm>
          <a:off x="1531620" y="16785526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4" name="ID_C28B20BF113A405DB63273439FEF15E6" descr="赛尔号奥利贡"/>
        <xdr:cNvPicPr>
          <a:picLocks noChangeAspect="1"/>
        </xdr:cNvPicPr>
      </xdr:nvPicPr>
      <xdr:blipFill>
        <a:blip r:embed="rId153" r:link="rId3"/>
        <a:stretch>
          <a:fillRect/>
        </a:stretch>
      </xdr:blipFill>
      <xdr:spPr>
        <a:xfrm>
          <a:off x="1478280" y="16888523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5" name="ID_5EFD06B43AAB499D9367A958699A2920" descr="赛尔号尤达里克"/>
        <xdr:cNvPicPr>
          <a:picLocks noChangeAspect="1"/>
        </xdr:cNvPicPr>
      </xdr:nvPicPr>
      <xdr:blipFill>
        <a:blip r:embed="rId154" r:link="rId3"/>
        <a:stretch>
          <a:fillRect/>
        </a:stretch>
      </xdr:blipFill>
      <xdr:spPr>
        <a:xfrm>
          <a:off x="1402080" y="16990758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6" name="ID_87F20231915843DD8663EB7B3EFBEDE8" descr="赛尔号阿尔达拉"/>
        <xdr:cNvPicPr>
          <a:picLocks noChangeAspect="1"/>
        </xdr:cNvPicPr>
      </xdr:nvPicPr>
      <xdr:blipFill>
        <a:blip r:embed="rId155" r:link="rId3"/>
        <a:stretch>
          <a:fillRect/>
        </a:stretch>
      </xdr:blipFill>
      <xdr:spPr>
        <a:xfrm>
          <a:off x="1424940" y="17110519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7" name="ID_22A71895A1C9462882F4553D6B08A7DC" descr="赛尔号纳鲁洛特"/>
        <xdr:cNvPicPr>
          <a:picLocks noChangeAspect="1"/>
        </xdr:cNvPicPr>
      </xdr:nvPicPr>
      <xdr:blipFill>
        <a:blip r:embed="rId156" r:link="rId3"/>
        <a:stretch>
          <a:fillRect/>
        </a:stretch>
      </xdr:blipFill>
      <xdr:spPr>
        <a:xfrm>
          <a:off x="1470660" y="17215802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8" name="ID_1AFEC3AEF72A4A2E9576EA1A96BF717B" descr="赛尔号罗德利斯"/>
        <xdr:cNvPicPr>
          <a:picLocks noChangeAspect="1"/>
        </xdr:cNvPicPr>
      </xdr:nvPicPr>
      <xdr:blipFill>
        <a:blip r:embed="rId157" r:link="rId3"/>
        <a:stretch>
          <a:fillRect/>
        </a:stretch>
      </xdr:blipFill>
      <xdr:spPr>
        <a:xfrm>
          <a:off x="1394460" y="17330229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9" name="ID_4942549C9AEE4B5AADAC108D42C650F2" descr="赛尔号米奈希尔"/>
        <xdr:cNvPicPr>
          <a:picLocks noChangeAspect="1"/>
        </xdr:cNvPicPr>
      </xdr:nvPicPr>
      <xdr:blipFill>
        <a:blip r:embed="rId158" r:link="rId3"/>
        <a:stretch>
          <a:fillRect/>
        </a:stretch>
      </xdr:blipFill>
      <xdr:spPr>
        <a:xfrm>
          <a:off x="1630680" y="17470564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0" name="ID_EF93E6B31219456882FAC876BCF71D69" descr="赛尔号伊洛花"/>
        <xdr:cNvPicPr>
          <a:picLocks noChangeAspect="1"/>
        </xdr:cNvPicPr>
      </xdr:nvPicPr>
      <xdr:blipFill>
        <a:blip r:embed="rId159" r:link="rId3"/>
        <a:stretch>
          <a:fillRect/>
        </a:stretch>
      </xdr:blipFill>
      <xdr:spPr>
        <a:xfrm>
          <a:off x="1447800" y="17543843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1" name="ID_57E4D22812E54AB08B246B125EBFA578" descr="赛尔号该隐"/>
        <xdr:cNvPicPr>
          <a:picLocks noChangeAspect="1"/>
        </xdr:cNvPicPr>
      </xdr:nvPicPr>
      <xdr:blipFill>
        <a:blip r:embed="rId160" r:link="rId3"/>
        <a:stretch>
          <a:fillRect/>
        </a:stretch>
      </xdr:blipFill>
      <xdr:spPr>
        <a:xfrm>
          <a:off x="1424940" y="17662842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2" name="ID_D6D6868653C14F11BF2B3A1437267A31" descr="赛尔号查库拉"/>
        <xdr:cNvPicPr>
          <a:picLocks noChangeAspect="1"/>
        </xdr:cNvPicPr>
      </xdr:nvPicPr>
      <xdr:blipFill>
        <a:blip r:embed="rId161" r:link="rId3"/>
        <a:stretch>
          <a:fillRect/>
        </a:stretch>
      </xdr:blipFill>
      <xdr:spPr>
        <a:xfrm>
          <a:off x="1417320" y="17778031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3" name="ID_56ADC49B96774BAABCA992BAA9C784D2" descr="赛尔号冰洛伏特"/>
        <xdr:cNvPicPr>
          <a:picLocks noChangeAspect="1"/>
        </xdr:cNvPicPr>
      </xdr:nvPicPr>
      <xdr:blipFill>
        <a:blip r:embed="rId162" r:link="rId3"/>
        <a:stretch>
          <a:fillRect/>
        </a:stretch>
      </xdr:blipFill>
      <xdr:spPr>
        <a:xfrm>
          <a:off x="1356360" y="17874932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4" name="ID_AF277631D28A49AF990B0127C65FC099" descr="赛尔号埃洛兽"/>
        <xdr:cNvPicPr>
          <a:picLocks noChangeAspect="1"/>
        </xdr:cNvPicPr>
      </xdr:nvPicPr>
      <xdr:blipFill>
        <a:blip r:embed="rId163" r:link="rId3"/>
        <a:stretch>
          <a:fillRect/>
        </a:stretch>
      </xdr:blipFill>
      <xdr:spPr>
        <a:xfrm>
          <a:off x="1417320" y="17999265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5" name="ID_870FDFF25EBA4D6B81D794B0B529F2A8" descr="赛尔号亨姆"/>
        <xdr:cNvPicPr>
          <a:picLocks noChangeAspect="1"/>
        </xdr:cNvPicPr>
      </xdr:nvPicPr>
      <xdr:blipFill>
        <a:blip r:embed="rId164" r:link="rId3"/>
        <a:stretch>
          <a:fillRect/>
        </a:stretch>
      </xdr:blipFill>
      <xdr:spPr>
        <a:xfrm>
          <a:off x="1394460" y="181136925"/>
          <a:ext cx="102298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6" name="ID_54E0DE61D6D34CBFAFB8447CB5552C1D" descr="赛尔号乔安娜"/>
        <xdr:cNvPicPr>
          <a:picLocks noChangeAspect="1"/>
        </xdr:cNvPicPr>
      </xdr:nvPicPr>
      <xdr:blipFill>
        <a:blip r:embed="rId165" r:link="rId3"/>
        <a:stretch>
          <a:fillRect/>
        </a:stretch>
      </xdr:blipFill>
      <xdr:spPr>
        <a:xfrm>
          <a:off x="1470660" y="18228119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7" name="ID_FE9A83DCF5DF4B04B685F76B2ADDFB94" descr="赛尔号亚格洛"/>
        <xdr:cNvPicPr>
          <a:picLocks noChangeAspect="1"/>
        </xdr:cNvPicPr>
      </xdr:nvPicPr>
      <xdr:blipFill>
        <a:blip r:embed="rId166" r:link="rId3"/>
        <a:stretch>
          <a:fillRect/>
        </a:stretch>
      </xdr:blipFill>
      <xdr:spPr>
        <a:xfrm>
          <a:off x="1463040" y="18331116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8" name="ID_87430387BC7349619AFFBB9B7191FE31" descr="赛尔号劳克蒙德"/>
        <xdr:cNvPicPr>
          <a:picLocks noChangeAspect="1"/>
        </xdr:cNvPicPr>
      </xdr:nvPicPr>
      <xdr:blipFill>
        <a:blip r:embed="rId167" r:link="rId3"/>
        <a:stretch>
          <a:fillRect/>
        </a:stretch>
      </xdr:blipFill>
      <xdr:spPr>
        <a:xfrm>
          <a:off x="1493520" y="18445543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9" name="ID_5FBC650468B44D71A00A1B4A00201ED0" descr="赛尔号克洛洛特"/>
        <xdr:cNvPicPr>
          <a:picLocks noChangeAspect="1"/>
        </xdr:cNvPicPr>
      </xdr:nvPicPr>
      <xdr:blipFill>
        <a:blip r:embed="rId168" r:link="rId3"/>
        <a:stretch>
          <a:fillRect/>
        </a:stretch>
      </xdr:blipFill>
      <xdr:spPr>
        <a:xfrm>
          <a:off x="1303020" y="18542444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0" name="ID_7E276FCFBAAC4DD4897F03FDEA2FD7C4" descr="赛尔号洛卡斯特"/>
        <xdr:cNvPicPr>
          <a:picLocks noChangeAspect="1"/>
        </xdr:cNvPicPr>
      </xdr:nvPicPr>
      <xdr:blipFill>
        <a:blip r:embed="rId169" r:link="rId3"/>
        <a:stretch>
          <a:fillRect/>
        </a:stretch>
      </xdr:blipFill>
      <xdr:spPr>
        <a:xfrm>
          <a:off x="1432560" y="186522995"/>
          <a:ext cx="1025525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1" name="ID_31730D3040C544D8B96BCCAE5C976101" descr="赛尔号阿葵丽亚"/>
        <xdr:cNvPicPr>
          <a:picLocks noChangeAspect="1"/>
        </xdr:cNvPicPr>
      </xdr:nvPicPr>
      <xdr:blipFill>
        <a:blip r:embed="rId170" r:link="rId3"/>
        <a:stretch>
          <a:fillRect/>
        </a:stretch>
      </xdr:blipFill>
      <xdr:spPr>
        <a:xfrm>
          <a:off x="1440180" y="187743465"/>
          <a:ext cx="1024890" cy="108013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2" name="ID_BEE5284AC808494ABD5923866248B283" descr="赛尔号阿尔比零"/>
        <xdr:cNvPicPr>
          <a:picLocks noChangeAspect="1"/>
        </xdr:cNvPicPr>
      </xdr:nvPicPr>
      <xdr:blipFill>
        <a:blip r:embed="rId171" r:link="rId3"/>
        <a:stretch>
          <a:fillRect/>
        </a:stretch>
      </xdr:blipFill>
      <xdr:spPr>
        <a:xfrm>
          <a:off x="1478280" y="18914173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3" name="ID_1C2B6DE0551341778574DBDB9B502A36" descr="赛尔号巴斯特"/>
        <xdr:cNvPicPr>
          <a:picLocks noChangeAspect="1"/>
        </xdr:cNvPicPr>
      </xdr:nvPicPr>
      <xdr:blipFill>
        <a:blip r:embed="rId172" r:link="rId3"/>
        <a:stretch>
          <a:fillRect/>
        </a:stretch>
      </xdr:blipFill>
      <xdr:spPr>
        <a:xfrm>
          <a:off x="1577340" y="19027711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4" name="ID_5840B76F2DC74B7186430AAE1985B509" descr="赛尔号泰格尔"/>
        <xdr:cNvPicPr>
          <a:picLocks noChangeAspect="1"/>
        </xdr:cNvPicPr>
      </xdr:nvPicPr>
      <xdr:blipFill>
        <a:blip r:embed="rId173" r:link="rId3"/>
        <a:stretch>
          <a:fillRect/>
        </a:stretch>
      </xdr:blipFill>
      <xdr:spPr>
        <a:xfrm>
          <a:off x="1539240" y="19252755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5" name="ID_76B81B3526CA49C9AD69FB86DFD23DD7" descr="赛尔号菲尼克斯"/>
        <xdr:cNvPicPr>
          <a:picLocks noChangeAspect="1"/>
        </xdr:cNvPicPr>
      </xdr:nvPicPr>
      <xdr:blipFill>
        <a:blip r:embed="rId174" r:link="rId3"/>
        <a:stretch>
          <a:fillRect/>
        </a:stretch>
      </xdr:blipFill>
      <xdr:spPr>
        <a:xfrm>
          <a:off x="1508760" y="193808985"/>
          <a:ext cx="1024890" cy="10814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8" name="ID_8C26EDDAD6DF4A19A83EBC072E81E6BF" descr="前言及操作说明-1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7620" y="7620"/>
          <a:ext cx="5574665" cy="6717665"/>
        </a:xfrm>
        <a:prstGeom prst="rect">
          <a:avLst/>
        </a:prstGeom>
      </xdr:spPr>
    </xdr:pic>
  </etc:cellImage>
  <etc:cellImage>
    <xdr:pic>
      <xdr:nvPicPr>
        <xdr:cNvPr id="182" name="ID_FC0E94E7418840049C6391B7C4F5B02E" descr="前言及操作说明-2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227330" y="7065645"/>
          <a:ext cx="5431790" cy="8698865"/>
        </a:xfrm>
        <a:prstGeom prst="rect">
          <a:avLst/>
        </a:prstGeom>
      </xdr:spPr>
    </xdr:pic>
  </etc:cellImage>
  <etc:cellImage>
    <xdr:pic>
      <xdr:nvPicPr>
        <xdr:cNvPr id="183" name="ID_5E48DAFE8DA64C1B9F4562AC5AF90B83" descr="前言及操作说明-3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373380" y="15841980"/>
          <a:ext cx="5303520" cy="4491990"/>
        </a:xfrm>
        <a:prstGeom prst="rect">
          <a:avLst/>
        </a:prstGeom>
      </xdr:spPr>
    </xdr:pic>
  </etc:cellImage>
  <etc:cellImage>
    <xdr:pic>
      <xdr:nvPicPr>
        <xdr:cNvPr id="176" name="ID_BCA50290EC77494989A0E3B79CFCEF40" descr="思路讲解-1"/>
        <xdr:cNvPicPr/>
      </xdr:nvPicPr>
      <xdr:blipFill>
        <a:blip r:embed="rId178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77" name="ID_2351673C4DBB4D4FA344D45FE26215AD" descr="思路讲解-2"/>
        <xdr:cNvPicPr/>
      </xdr:nvPicPr>
      <xdr:blipFill>
        <a:blip r:embed="rId179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79" name="ID_32CFB0F8A0944C0CA8895CE8BD68DDF3" descr="思路讲解-3"/>
        <xdr:cNvPicPr/>
      </xdr:nvPicPr>
      <xdr:blipFill>
        <a:blip r:embed="rId180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80" name="ID_D60AF119E63A4A7DAB7B153A1DEF98CE" descr="思路讲解-4"/>
        <xdr:cNvPicPr/>
      </xdr:nvPicPr>
      <xdr:blipFill>
        <a:blip r:embed="rId181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81" name="ID_0DB57F7DCF354659BB984294F46EC813" descr="思路讲解-5"/>
        <xdr:cNvPicPr/>
      </xdr:nvPicPr>
      <xdr:blipFill>
        <a:blip r:embed="rId182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84" name="ID_94561FB6AA43435FB1AEA8667B910BCA" descr="思路讲解-6"/>
        <xdr:cNvPicPr/>
      </xdr:nvPicPr>
      <xdr:blipFill>
        <a:blip r:embed="rId183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85" name="ID_44262C6985014519AC4E40EB4B278C6B" descr="思路讲解-7"/>
        <xdr:cNvPicPr/>
      </xdr:nvPicPr>
      <xdr:blipFill>
        <a:blip r:embed="rId184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86" name="ID_423B7856773F4621BB84E9352F589E2F" descr="思路讲解-8"/>
        <xdr:cNvPicPr/>
      </xdr:nvPicPr>
      <xdr:blipFill>
        <a:blip r:embed="rId185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88" name="ID_305BB84FB79C4C5491CB2CED725A5E6E" descr="思路讲解-9"/>
        <xdr:cNvPicPr/>
      </xdr:nvPicPr>
      <xdr:blipFill>
        <a:blip r:embed="rId186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89" name="ID_E5EAB9455F874E8EBB10DE91448F221A" descr="思路讲解-10"/>
        <xdr:cNvPicPr/>
      </xdr:nvPicPr>
      <xdr:blipFill>
        <a:blip r:embed="rId187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90" name="ID_78EEAFC60A754DA097EBA3EBADF7F327" descr="思路讲解-11"/>
        <xdr:cNvPicPr/>
      </xdr:nvPicPr>
      <xdr:blipFill>
        <a:blip r:embed="rId188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91" name="ID_D3D1F1A8912B4F56997A479F76C08A31" descr="思路讲解-12"/>
        <xdr:cNvPicPr/>
      </xdr:nvPicPr>
      <xdr:blipFill>
        <a:blip r:embed="rId189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92" name="ID_03B1D471BA9D4F55A206F95D9EB6C98B" descr="思路讲解-13"/>
        <xdr:cNvPicPr/>
      </xdr:nvPicPr>
      <xdr:blipFill>
        <a:blip r:embed="rId190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93" name="ID_2C2CB311EE104B8F955C578AD9F36507" descr="思路讲解-14"/>
        <xdr:cNvPicPr/>
      </xdr:nvPicPr>
      <xdr:blipFill>
        <a:blip r:embed="rId191"/>
        <a:stretch>
          <a:fillRect/>
        </a:stretch>
      </xdr:blipFill>
      <xdr:spPr>
        <a:xfrm>
          <a:off x="0" y="0"/>
          <a:ext cx="5580380" cy="9064625"/>
        </a:xfrm>
        <a:prstGeom prst="rect">
          <a:avLst/>
        </a:prstGeom>
      </xdr:spPr>
    </xdr:pic>
  </etc:cellImage>
  <etc:cellImage>
    <xdr:pic>
      <xdr:nvPicPr>
        <xdr:cNvPr id="194" name="ID_ADA148E09E6B43378CD8E2A0F76FCEA6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292735" y="172720"/>
          <a:ext cx="7170420" cy="43357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<sst xmlns="http://schemas.openxmlformats.org/spreadsheetml/2006/main" count="1061" uniqueCount="274">
  <si>
    <t>序号</t>
  </si>
  <si>
    <t>属性</t>
  </si>
  <si>
    <t>样貌</t>
  </si>
  <si>
    <t>名称</t>
  </si>
  <si>
    <t>攻击</t>
  </si>
  <si>
    <t>防御</t>
  </si>
  <si>
    <t>特攻</t>
  </si>
  <si>
    <t>特防</t>
  </si>
  <si>
    <t>速度</t>
  </si>
  <si>
    <t>体力</t>
  </si>
  <si>
    <t>总和</t>
  </si>
  <si>
    <t>爆速值</t>
  </si>
  <si>
    <t>原始速度</t>
  </si>
  <si>
    <t>加1速超车(241速)</t>
  </si>
  <si>
    <t>加2速超车(181速)</t>
  </si>
  <si>
    <t>减1速超车(242速)</t>
  </si>
  <si>
    <t>减2速超车(181速)</t>
  </si>
  <si>
    <t>电</t>
  </si>
  <si>
    <r>
      <rPr>
        <sz val="11"/>
        <color theme="1"/>
        <rFont val="宋体"/>
        <charset val="134"/>
        <scheme val="minor"/>
      </rPr>
      <t xml:space="preserve">爆速控制特训雷伊
</t>
    </r>
    <r>
      <rPr>
        <sz val="11"/>
        <color theme="1"/>
        <rFont val="宋体"/>
        <charset val="134"/>
      </rPr>
      <t>（</t>
    </r>
    <r>
      <rPr>
        <sz val="11"/>
        <color theme="1"/>
        <rFont val="宋体"/>
        <charset val="134"/>
        <scheme val="minor"/>
      </rPr>
      <t>335攻击，防御206，特攻224，210特防，速度360，体力343</t>
    </r>
    <r>
      <rPr>
        <sz val="11"/>
        <color theme="1"/>
        <rFont val="宋体"/>
        <charset val="134"/>
      </rPr>
      <t>）换算得来</t>
    </r>
  </si>
  <si>
    <t>106~
107</t>
  </si>
  <si>
    <t>611~
612</t>
  </si>
  <si>
    <t>√</t>
  </si>
  <si>
    <t>雷伊特训加值规则</t>
  </si>
  <si>
    <r>
      <rPr>
        <sz val="11"/>
        <color theme="2" tint="-0.1"/>
        <rFont val="宋体"/>
        <charset val="134"/>
      </rPr>
      <t>属性</t>
    </r>
    <r>
      <rPr>
        <sz val="11"/>
        <color theme="2" tint="-0.1"/>
        <rFont val="Arial"/>
        <charset val="134"/>
      </rPr>
      <t>+20</t>
    </r>
  </si>
  <si>
    <r>
      <rPr>
        <sz val="11"/>
        <color theme="2" tint="-0.1"/>
        <rFont val="宋体"/>
        <charset val="134"/>
      </rPr>
      <t>属性</t>
    </r>
    <r>
      <rPr>
        <sz val="11"/>
        <color theme="2" tint="-0.1"/>
        <rFont val="Arial"/>
        <charset val="134"/>
      </rPr>
      <t>+30</t>
    </r>
  </si>
  <si>
    <r>
      <rPr>
        <sz val="11"/>
        <color theme="2" tint="-0.1"/>
        <rFont val="宋体"/>
        <charset val="134"/>
      </rPr>
      <t>属性</t>
    </r>
    <r>
      <rPr>
        <sz val="11"/>
        <color theme="2" tint="-0.1"/>
        <rFont val="Arial"/>
        <charset val="134"/>
      </rPr>
      <t>+10</t>
    </r>
  </si>
  <si>
    <r>
      <rPr>
        <sz val="11"/>
        <color theme="2" tint="-0.1"/>
        <rFont val="宋体"/>
        <charset val="134"/>
      </rPr>
      <t>属性</t>
    </r>
    <r>
      <rPr>
        <sz val="11"/>
        <color theme="2" tint="-0.1"/>
        <rFont val="Arial"/>
        <charset val="134"/>
      </rPr>
      <t>+60</t>
    </r>
  </si>
  <si>
    <t>/</t>
  </si>
  <si>
    <t>火</t>
  </si>
  <si>
    <t>魔焰猩猩</t>
  </si>
  <si>
    <t>圣灵</t>
  </si>
  <si>
    <t>谱尼(虚无：2回合若本方先手攻击，使得对方的技能失效。)</t>
  </si>
  <si>
    <t>火飞行</t>
  </si>
  <si>
    <t>菲尼克斯(火焰护身:抵挡下2次对手的攻击)</t>
  </si>
  <si>
    <t>飞行</t>
  </si>
  <si>
    <t>哈尔翼蜂</t>
  </si>
  <si>
    <t>火超能</t>
  </si>
  <si>
    <t>罗德利斯(holy shit)</t>
  </si>
  <si>
    <t>水</t>
  </si>
  <si>
    <r>
      <rPr>
        <sz val="11"/>
        <color theme="1"/>
        <rFont val="宋体"/>
        <charset val="134"/>
        <scheme val="minor"/>
      </rPr>
      <t>阿葵丽亚(★1回合若本方先手攻击，使对方技能失效的水之躯体★</t>
    </r>
    <r>
      <rPr>
        <b/>
        <sz val="14"/>
        <color theme="1"/>
        <rFont val="宋体"/>
        <charset val="134"/>
        <scheme val="minor"/>
      </rPr>
      <t>可自爆，使下一只精灵攻击特攻提升1级</t>
    </r>
    <r>
      <rPr>
        <sz val="11"/>
        <color theme="1"/>
        <rFont val="宋体"/>
        <charset val="134"/>
        <scheme val="minor"/>
      </rPr>
      <t>)</t>
    </r>
  </si>
  <si>
    <t>灵翼蜂</t>
  </si>
  <si>
    <t>光</t>
  </si>
  <si>
    <t>伶俐雕</t>
  </si>
  <si>
    <t>电火</t>
  </si>
  <si>
    <t>亚格洛(先出手威力×2=
160的炽热火焰)</t>
  </si>
  <si>
    <t>机械</t>
  </si>
  <si>
    <t>洛卡斯特(60命中的睡眠技能)</t>
  </si>
  <si>
    <t>提亚斯</t>
  </si>
  <si>
    <t>雷伊（未特训）</t>
  </si>
  <si>
    <t>闪光波克尔</t>
  </si>
  <si>
    <t>依希亚</t>
  </si>
  <si>
    <t>吉娜斯</t>
  </si>
  <si>
    <t>战斗</t>
  </si>
  <si>
    <t>盖亚(群影乱舞：抵挡下1次对手的攻击)</t>
  </si>
  <si>
    <t>炽翼蝶</t>
  </si>
  <si>
    <t>冰</t>
  </si>
  <si>
    <t>凯凯西朴</t>
  </si>
  <si>
    <t>龙</t>
  </si>
  <si>
    <t>乌鲁卡</t>
  </si>
  <si>
    <t>战斗火</t>
  </si>
  <si>
    <t>迪尔科特(急转：1回合若本方先手攻击，使得对方的技能失效。)</t>
  </si>
  <si>
    <t>飞行超能</t>
  </si>
  <si>
    <t>艾克里桑</t>
  </si>
  <si>
    <t>乌力朴</t>
  </si>
  <si>
    <t>水暗影</t>
  </si>
  <si>
    <t>鲁尔蒂尼</t>
  </si>
  <si>
    <t>查库拉(先出手威力×2=
160的冰霜之爪)</t>
  </si>
  <si>
    <t>詹士眼</t>
  </si>
  <si>
    <t>巨镰鸟</t>
  </si>
  <si>
    <t>厄尔塞拉</t>
  </si>
  <si>
    <t>希拉</t>
  </si>
  <si>
    <t>普通</t>
  </si>
  <si>
    <t>嘟咕噜王</t>
  </si>
  <si>
    <t>尹泰拉多</t>
  </si>
  <si>
    <t>塞维尔</t>
  </si>
  <si>
    <t>萨诺拉斯</t>
  </si>
  <si>
    <t>超能冰</t>
  </si>
  <si>
    <t>冰洛伏特(★先出手威力×2=170的元素之冰，★若本方先手攻击，使对方技能失效的空间跳跃)</t>
  </si>
  <si>
    <t>乔安娜</t>
  </si>
  <si>
    <t>哈莫雷特(1回合若本方
先手攻击，使对方技能失效的回避)</t>
  </si>
  <si>
    <t>龙须蝴</t>
  </si>
  <si>
    <t>劳克蒙德(1回合若本方
先手攻击，使对方技能失效的回避)</t>
  </si>
  <si>
    <t>里奥斯</t>
  </si>
  <si>
    <t>西萨琉拉</t>
  </si>
  <si>
    <t>西萨拉斯</t>
  </si>
  <si>
    <t>萨洛姆斯</t>
  </si>
  <si>
    <t>超能</t>
  </si>
  <si>
    <r>
      <rPr>
        <sz val="11"/>
        <color theme="1"/>
        <rFont val="宋体"/>
        <charset val="134"/>
        <scheme val="minor"/>
      </rPr>
      <t>刹洛眼</t>
    </r>
    <r>
      <rPr>
        <b/>
        <sz val="14"/>
        <rFont val="宋体"/>
        <charset val="134"/>
        <scheme val="minor"/>
      </rPr>
      <t>(可自爆，命中率：必中)
使下只精灵防御特防提升1级</t>
    </r>
  </si>
  <si>
    <t>艾尔伊洛</t>
  </si>
  <si>
    <t>古雷亚</t>
  </si>
  <si>
    <t>暗影</t>
  </si>
  <si>
    <t>索比拉特</t>
  </si>
  <si>
    <t>火爆鼠</t>
  </si>
  <si>
    <t>艾斯菲格(若本方先手攻击，使对方技能失效的空间跳跃)</t>
  </si>
  <si>
    <t>巴弗洛</t>
  </si>
  <si>
    <t>帕格尼尼</t>
  </si>
  <si>
    <t>冰暗影</t>
  </si>
  <si>
    <t>格拉诺(心灵能量必先，可配合若先出手则威力×2=180的暗影冰锥)</t>
  </si>
  <si>
    <t>蝠迪</t>
  </si>
  <si>
    <t>沙罗希瓦</t>
  </si>
  <si>
    <t>厄斯沃姆</t>
  </si>
  <si>
    <t>冰光</t>
  </si>
  <si>
    <t>格兰诺</t>
  </si>
  <si>
    <t>达鲁切尔</t>
  </si>
  <si>
    <t>萨帕克</t>
  </si>
  <si>
    <t>斯托利亚</t>
  </si>
  <si>
    <t>神秘</t>
  </si>
  <si>
    <t>卡鲁耶克</t>
  </si>
  <si>
    <t>雷光兽</t>
  </si>
  <si>
    <t>克洛亚</t>
  </si>
  <si>
    <t>肯扎特</t>
  </si>
  <si>
    <t>吉尼亚斯</t>
  </si>
  <si>
    <t>魔牙鲨</t>
  </si>
  <si>
    <t>克林卡修</t>
  </si>
  <si>
    <t>嘟噜噜王</t>
  </si>
  <si>
    <t>地面</t>
  </si>
  <si>
    <t>卡鲁克斯</t>
  </si>
  <si>
    <t>辛娜斯</t>
  </si>
  <si>
    <t>迪斯凯特(折光：可完全抵挡1次攻击)</t>
  </si>
  <si>
    <t>战斗地面</t>
  </si>
  <si>
    <t>菲拉斯特</t>
  </si>
  <si>
    <t>光飞行</t>
  </si>
  <si>
    <t>阿尔达拉(若先手，光
羽天翔威力×2=200)</t>
  </si>
  <si>
    <t>阿尔比零</t>
  </si>
  <si>
    <t>50命中</t>
  </si>
  <si>
    <t>草</t>
  </si>
  <si>
    <t>闪光依莱恩</t>
  </si>
  <si>
    <t>纳鲁洛特</t>
  </si>
  <si>
    <t>电战斗</t>
  </si>
  <si>
    <t>泰格尔</t>
  </si>
  <si>
    <t>贝特卡恩</t>
  </si>
  <si>
    <t>宾尼纳拉</t>
  </si>
  <si>
    <t>80命中50生效伤害技</t>
  </si>
  <si>
    <t>魔花使者</t>
  </si>
  <si>
    <t>莫尔加斯</t>
  </si>
  <si>
    <t>柯蓝</t>
  </si>
  <si>
    <t>闪光艾菲亚(若本方先手攻击，使对方技能失效的空间跳跃)</t>
  </si>
  <si>
    <t>沙恩克</t>
  </si>
  <si>
    <t>水龙</t>
  </si>
  <si>
    <t>朵拉格(水龙盾：1回合若本方先手攻击，使得对方的技能失效)</t>
  </si>
  <si>
    <t>帕尔西丝</t>
  </si>
  <si>
    <t>亚梅丝</t>
  </si>
  <si>
    <t>卡库</t>
  </si>
  <si>
    <t>赤西西比</t>
  </si>
  <si>
    <t>夏洛犬</t>
  </si>
  <si>
    <t>鲁比克(先制+1斜转:可完全抵挡1次攻击)</t>
  </si>
  <si>
    <t>米奈希尔</t>
  </si>
  <si>
    <t>地面暗影</t>
  </si>
  <si>
    <t>该隐(灵魂干涉70命中2回合疲惫
暗影护盾3回合内，物理攻击对自身必定miss)</t>
  </si>
  <si>
    <t>埃洛兽</t>
  </si>
  <si>
    <t>草超能</t>
  </si>
  <si>
    <t>克洛洛特(60命中的睡眠技能)</t>
  </si>
  <si>
    <t>卡尔特</t>
  </si>
  <si>
    <r>
      <rPr>
        <sz val="11"/>
        <color theme="1"/>
        <rFont val="宋体"/>
        <charset val="134"/>
        <scheme val="minor"/>
      </rPr>
      <t>尤纳斯</t>
    </r>
    <r>
      <rPr>
        <b/>
        <sz val="14"/>
        <color theme="1"/>
        <rFont val="宋体"/>
        <charset val="134"/>
        <scheme val="minor"/>
      </rPr>
      <t>(可自爆)
使下一只精灵特攻特防能力提升1级。</t>
    </r>
  </si>
  <si>
    <t>奈尼芬多</t>
  </si>
  <si>
    <t>约凡撒</t>
  </si>
  <si>
    <t>猛虎王</t>
  </si>
  <si>
    <t>远古鱼龙</t>
  </si>
  <si>
    <t>布林克克</t>
  </si>
  <si>
    <t>基维奥拉</t>
  </si>
  <si>
    <t>上古炎兽</t>
  </si>
  <si>
    <t>泰瑞</t>
  </si>
  <si>
    <t>机械地面</t>
  </si>
  <si>
    <t>巴斯特</t>
  </si>
  <si>
    <t>魔狮迪露</t>
  </si>
  <si>
    <t>海纹蝶</t>
  </si>
  <si>
    <t>奎比历斯</t>
  </si>
  <si>
    <t>星吉拉</t>
  </si>
  <si>
    <t>卡其沙</t>
  </si>
  <si>
    <t>扎夫特</t>
  </si>
  <si>
    <t>阿克希亚</t>
  </si>
  <si>
    <t>海德拉</t>
  </si>
  <si>
    <t>塔克林</t>
  </si>
  <si>
    <t>鲁斯王</t>
  </si>
  <si>
    <t>波戈</t>
  </si>
  <si>
    <t>亨姆</t>
  </si>
  <si>
    <t>水晶鸭</t>
  </si>
  <si>
    <t>布鲁克克</t>
  </si>
  <si>
    <t>艾迪希洛</t>
  </si>
  <si>
    <t>梅鲁</t>
  </si>
  <si>
    <t>伊兰罗尼</t>
  </si>
  <si>
    <t>查尔顿</t>
  </si>
  <si>
    <t>迪修眼</t>
  </si>
  <si>
    <t>弗里昂</t>
  </si>
  <si>
    <r>
      <rPr>
        <sz val="11"/>
        <color theme="1"/>
        <rFont val="宋体"/>
        <charset val="134"/>
        <scheme val="minor"/>
      </rPr>
      <t>塞拉兔</t>
    </r>
    <r>
      <rPr>
        <b/>
        <sz val="14"/>
        <color theme="1"/>
        <rFont val="宋体"/>
        <charset val="134"/>
        <scheme val="minor"/>
      </rPr>
      <t>(可自爆)
使下只精灵攻击防御提升1级</t>
    </r>
  </si>
  <si>
    <t>托雷塔斯</t>
  </si>
  <si>
    <t>史拉达</t>
  </si>
  <si>
    <t>克尔加德</t>
  </si>
  <si>
    <t>奥利贡</t>
  </si>
  <si>
    <t>迪尔克</t>
  </si>
  <si>
    <t>巴法尔</t>
  </si>
  <si>
    <t>伊卡罗尼</t>
  </si>
  <si>
    <t>鳞甲龙鱼</t>
  </si>
  <si>
    <t>米洛尼</t>
  </si>
  <si>
    <t>多鲁姆</t>
  </si>
  <si>
    <t>塔西亚</t>
  </si>
  <si>
    <t>尤达里克</t>
  </si>
  <si>
    <t>派鲁基达</t>
  </si>
  <si>
    <t>雷吉姆斯</t>
  </si>
  <si>
    <t>杰西卡</t>
  </si>
  <si>
    <t>伊洛花</t>
  </si>
  <si>
    <t>巨型仙人掌</t>
  </si>
  <si>
    <t>雷吉欧斯</t>
  </si>
  <si>
    <t>雷纳多</t>
  </si>
  <si>
    <t>卡特斯</t>
  </si>
  <si>
    <t>SRX</t>
  </si>
  <si>
    <t>伊娅丝</t>
  </si>
  <si>
    <t>埃里克斯</t>
  </si>
  <si>
    <t>提姆提姆</t>
  </si>
  <si>
    <t>闪光格鲁高</t>
  </si>
  <si>
    <t>巴拉龟</t>
  </si>
  <si>
    <t>丽莎布布</t>
  </si>
  <si>
    <t>橡木蝶</t>
  </si>
  <si>
    <r>
      <rPr>
        <sz val="11"/>
        <color theme="1"/>
        <rFont val="宋体"/>
        <charset val="134"/>
        <scheme val="minor"/>
      </rPr>
      <t>TOH</t>
    </r>
    <r>
      <rPr>
        <b/>
        <sz val="14"/>
        <color theme="1"/>
        <rFont val="宋体"/>
        <charset val="134"/>
        <scheme val="minor"/>
      </rPr>
      <t>(可自爆)
使下只精灵防御特攻提升1级</t>
    </r>
  </si>
  <si>
    <t>赫德卡</t>
  </si>
  <si>
    <t>刺爪蟹</t>
  </si>
  <si>
    <t>迷你果</t>
  </si>
  <si>
    <t>赫卡特</t>
  </si>
  <si>
    <t>丁鲁特</t>
  </si>
  <si>
    <r>
      <rPr>
        <sz val="11"/>
        <color theme="1"/>
        <rFont val="宋体"/>
        <charset val="134"/>
        <scheme val="minor"/>
      </rPr>
      <t>斯加尔卡</t>
    </r>
    <r>
      <rPr>
        <b/>
        <sz val="14"/>
        <color theme="1"/>
        <rFont val="宋体"/>
        <charset val="134"/>
        <scheme val="minor"/>
      </rPr>
      <t>(可自爆)
使下一只精灵在前两回合内必定致命一击。</t>
    </r>
  </si>
  <si>
    <t>艾丝柏</t>
  </si>
  <si>
    <r>
      <rPr>
        <sz val="11"/>
        <color theme="1"/>
        <rFont val="宋体"/>
        <charset val="134"/>
        <scheme val="minor"/>
      </rPr>
      <t xml:space="preserve">固执超车特训雷伊
</t>
    </r>
    <r>
      <rPr>
        <sz val="11"/>
        <color theme="1"/>
        <rFont val="宋体"/>
        <charset val="134"/>
      </rPr>
      <t>（攻击</t>
    </r>
    <r>
      <rPr>
        <sz val="11"/>
        <color theme="1"/>
        <rFont val="宋体"/>
        <charset val="134"/>
        <scheme val="minor"/>
      </rPr>
      <t>367，防御207，特攻224，特防210，速度266，体力406</t>
    </r>
    <r>
      <rPr>
        <sz val="11"/>
        <color theme="1"/>
        <rFont val="宋体"/>
        <charset val="134"/>
      </rPr>
      <t>）</t>
    </r>
    <r>
      <rPr>
        <sz val="11"/>
        <color theme="1"/>
        <rFont val="宋体"/>
        <charset val="134"/>
        <scheme val="minor"/>
      </rPr>
      <t>换算得来</t>
    </r>
  </si>
  <si>
    <t>117~
118</t>
  </si>
  <si>
    <t>611~
613</t>
  </si>
  <si>
    <t>多鲁鲁斯</t>
  </si>
  <si>
    <t>塔姆拉</t>
  </si>
  <si>
    <t>艾贝多芬</t>
  </si>
  <si>
    <t>隆米尔</t>
  </si>
  <si>
    <t>宿主岩</t>
  </si>
  <si>
    <t>哈伊卡</t>
  </si>
  <si>
    <t>巴尔克</t>
  </si>
  <si>
    <t>奇拉塔顿</t>
  </si>
  <si>
    <t>贝鲁基德</t>
  </si>
  <si>
    <t>闪光电击兔</t>
  </si>
  <si>
    <t>纳多雷</t>
  </si>
  <si>
    <t>巨型树妖</t>
  </si>
  <si>
    <t>辛奇帕克</t>
  </si>
  <si>
    <t>固执超车雷伊（已特训）</t>
  </si>
  <si>
    <t>爆速控制雷伊（已特训）</t>
  </si>
  <si>
    <r>
      <rPr>
        <sz val="11"/>
        <color theme="1"/>
        <rFont val="宋体"/>
        <charset val="134"/>
        <scheme val="minor"/>
      </rPr>
      <t>斯加尔卡</t>
    </r>
    <r>
      <rPr>
        <b/>
        <sz val="14"/>
        <color theme="1"/>
        <rFont val="宋体"/>
        <charset val="134"/>
        <scheme val="minor"/>
      </rPr>
      <t>(可自爆，命中率：必中)
使下一只精灵在前两回合内必定致命一击。</t>
    </r>
  </si>
  <si>
    <r>
      <rPr>
        <sz val="11"/>
        <color theme="1"/>
        <rFont val="宋体"/>
        <charset val="134"/>
        <scheme val="minor"/>
      </rPr>
      <t>阿葵丽亚(★1回合若本方先手攻击，使对方技能失效的水之躯体★</t>
    </r>
    <r>
      <rPr>
        <b/>
        <sz val="14"/>
        <color theme="1"/>
        <rFont val="宋体"/>
        <charset val="134"/>
        <scheme val="minor"/>
      </rPr>
      <t>可自爆，命中率：必中
使下一只精灵攻击特攻提升1级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</si>
  <si>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TOH</t>
    </r>
    <r>
      <rPr>
        <b/>
        <sz val="14"/>
        <color theme="1"/>
        <rFont val="宋体"/>
        <charset val="134"/>
        <scheme val="minor"/>
      </rPr>
      <t>(可自爆，命中率：必中)
使下只精灵防御特攻提升1级</t>
    </r>
  </si>
  <si>
    <r>
      <rPr>
        <sz val="11"/>
        <color theme="1"/>
        <rFont val="宋体"/>
        <charset val="134"/>
        <scheme val="minor"/>
      </rPr>
      <t>尤纳斯</t>
    </r>
    <r>
      <rPr>
        <b/>
        <sz val="14"/>
        <color theme="1"/>
        <rFont val="宋体"/>
        <charset val="134"/>
        <scheme val="minor"/>
      </rPr>
      <t>(可自爆，命中率：必中)
使下一只精灵特攻特防能力提升1级。</t>
    </r>
  </si>
  <si>
    <r>
      <rPr>
        <sz val="11"/>
        <color theme="1"/>
        <rFont val="宋体"/>
        <charset val="134"/>
        <scheme val="minor"/>
      </rPr>
      <t>塞拉兔</t>
    </r>
    <r>
      <rPr>
        <b/>
        <sz val="14"/>
        <color theme="1"/>
        <rFont val="宋体"/>
        <charset val="134"/>
        <scheme val="minor"/>
      </rPr>
      <t>(可自爆，命中率：必中)
使下只精灵攻击防御提升1级</t>
    </r>
  </si>
  <si>
    <t>战斗中能力值计算器</t>
  </si>
  <si>
    <t>进攻方0级攻击</t>
  </si>
  <si>
    <t>进攻方0级特攻</t>
  </si>
  <si>
    <t>防守方0级防御</t>
  </si>
  <si>
    <t>防守方0级特防</t>
  </si>
  <si>
    <t>在此行输入数值得到加减等级之后的战斗中能力值(战斗中能力值是带小数的)</t>
  </si>
  <si>
    <t>减1</t>
  </si>
  <si>
    <t>伤害计算器</t>
  </si>
  <si>
    <t>减2</t>
  </si>
  <si>
    <t>先下方输入数值（填左侧表格战斗中的）</t>
  </si>
  <si>
    <t>下方得到结果（伤害随机浮动）</t>
  </si>
  <si>
    <t>减3</t>
  </si>
  <si>
    <t>进攻方攻击/特攻</t>
  </si>
  <si>
    <t>防御方防御/特防</t>
  </si>
  <si>
    <t>技能威力</t>
  </si>
  <si>
    <t>克制系数</t>
  </si>
  <si>
    <t>本系技能最高伤害</t>
  </si>
  <si>
    <t>非本系技能最高伤害</t>
  </si>
  <si>
    <t>减4</t>
  </si>
  <si>
    <t>减5</t>
  </si>
  <si>
    <t>本系技能最低伤害</t>
  </si>
  <si>
    <t>非本系技能最低伤害</t>
  </si>
  <si>
    <t>减6</t>
  </si>
  <si>
    <t>加1</t>
  </si>
  <si>
    <t>加2</t>
  </si>
  <si>
    <t>加3</t>
  </si>
  <si>
    <t>加4</t>
  </si>
  <si>
    <t>加5</t>
  </si>
  <si>
    <t>加6</t>
  </si>
  <si>
    <r>
      <rPr>
        <sz val="16"/>
        <color rgb="FFFF0000"/>
        <rFont val="宋体"/>
        <charset val="134"/>
        <scheme val="minor"/>
      </rPr>
      <t xml:space="preserve"> </t>
    </r>
    <r>
      <rPr>
        <sz val="16"/>
        <rFont val="黑体"/>
        <charset val="134"/>
      </rPr>
      <t>3.3按ctrl+F可输入编号或名称搜索精灵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</si>
</sst>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sz val="11"/>
      <color theme="2" tint="-0.1"/>
      <name val="宋体"/>
      <charset val="134"/>
    </font>
    <font>
      <sz val="21"/>
      <color theme="2" tint="-0.1"/>
      <name val="Arial"/>
      <charset val="134"/>
    </font>
    <font>
      <b/>
      <sz val="21"/>
      <name val="Arial"/>
      <charset val="134"/>
    </font>
    <font>
      <b/>
      <sz val="4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2" tint="-0.1"/>
      <name val="Arial"/>
      <charset val="134"/>
    </font>
    <font>
      <sz val="11"/>
      <color theme="1"/>
      <name val="宋体"/>
      <charset val="134"/>
    </font>
    <font>
      <b/>
      <sz val="14"/>
      <name val="宋体"/>
      <charset val="134"/>
      <scheme val="minor"/>
    </font>
    <font>
      <sz val="16"/>
      <name val="黑体"/>
      <charset val="134"/>
    </font>
  </fonts>
  <fills count="6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rgb="FFE7A93E"/>
        <bgColor indexed="64"/>
      </patternFill>
    </fill>
    <fill>
      <gradientFill type="path" left="0.5" right="0.5" top="0.5" bottom="0.5">
        <stop position="0">
          <color rgb="FFFFFF00"/>
        </stop>
        <stop position="1">
          <color rgb="FFEB5B5E"/>
        </stop>
      </gradientFill>
    </fill>
    <fill>
      <gradientFill type="path" left="0.5" right="0.5" top="0.5" bottom="0.5">
        <stop position="0">
          <color rgb="FFFF7651"/>
        </stop>
        <stop position="1">
          <color rgb="FFFCF2F2"/>
        </stop>
      </gradientFill>
    </fill>
    <fill>
      <gradientFill type="path" left="0.5" right="0.5" top="0.5" bottom="0.5">
        <stop position="0">
          <color rgb="FF55D9FF"/>
        </stop>
        <stop position="1">
          <color rgb="FFDA4A95"/>
        </stop>
      </gradientFill>
    </fill>
    <fill>
      <gradientFill type="path" left="0.5" right="0.5" top="0.5" bottom="0.5">
        <stop position="0">
          <color theme="0" tint="-0.25"/>
        </stop>
        <stop position="1">
          <color theme="5" tint="0.4"/>
        </stop>
      </gradientFill>
    </fill>
    <fill>
      <patternFill patternType="solid">
        <fgColor rgb="FFDA4A95"/>
        <bgColor indexed="64"/>
      </patternFill>
    </fill>
    <fill>
      <patternFill patternType="solid">
        <fgColor rgb="FFFF765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55D9FF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 tint="-0.25"/>
        <bgColor indexed="64"/>
      </patternFill>
    </fill>
    <fill>
      <gradientFill type="path" left="0.5" right="0.5" top="0.5" bottom="0.5">
        <stop position="0">
          <color theme="7" tint="0.4"/>
        </stop>
        <stop position="1">
          <color rgb="FFCCA2E2"/>
        </stop>
      </gradientFill>
    </fill>
    <fill>
      <patternFill patternType="solid">
        <fgColor rgb="FFEB5B5E"/>
        <bgColor indexed="64"/>
      </patternFill>
    </fill>
    <fill>
      <patternFill patternType="solid">
        <fgColor rgb="FF9754EA"/>
        <bgColor indexed="64"/>
      </patternFill>
    </fill>
    <fill>
      <gradientFill type="path" left="0.5" right="0.5" top="0.5" bottom="0.5">
        <stop position="0">
          <color theme="6" tint="0.4"/>
        </stop>
        <stop position="1">
          <color rgb="FFFCF2F2"/>
        </stop>
      </gradientFill>
    </fill>
    <fill>
      <patternFill patternType="solid">
        <fgColor rgb="FFEA6B16"/>
        <bgColor indexed="64"/>
      </patternFill>
    </fill>
    <fill>
      <patternFill patternType="solid">
        <fgColor rgb="FFCCA2E2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7A88DA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ABECF7"/>
        <bgColor indexed="64"/>
      </patternFill>
    </fill>
    <fill>
      <gradientFill type="path" left="0.5" right="0.5" top="0.5" bottom="0.5">
        <stop position="0">
          <color rgb="FFFFFF00"/>
        </stop>
        <stop position="1">
          <color rgb="FFFF7651"/>
        </stop>
      </gradientFill>
    </fill>
    <fill>
      <gradientFill type="path" left="0.5" right="0.5" top="0.5" bottom="0.5">
        <stop position="0">
          <color rgb="FFFF7651"/>
        </stop>
        <stop position="1">
          <color rgb="FFCCA2E2"/>
        </stop>
      </gradientFill>
    </fill>
    <fill>
      <gradientFill type="path" left="0.5" right="0.5" top="0.5" bottom="0.5">
        <stop position="0">
          <color rgb="FFFCF2F2"/>
        </stop>
        <stop position="1">
          <color rgb="FFCCA2E2"/>
        </stop>
      </gradientFill>
    </fill>
    <fill>
      <patternFill patternType="solid">
        <fgColor rgb="FFFCF2F2"/>
        <bgColor indexed="64"/>
      </patternFill>
    </fill>
    <fill>
      <gradientFill type="path" left="0.5" right="0.5" top="0.5" bottom="0.5">
        <stop position="0">
          <color rgb="FF55D9FF"/>
        </stop>
        <stop position="1">
          <color rgb="FF7A88DA"/>
        </stop>
      </gradientFill>
    </fill>
    <fill>
      <gradientFill type="path" left="0.5" right="0.5" top="0.5" bottom="0.5">
        <stop position="0">
          <color theme="5" tint="0.4"/>
        </stop>
        <stop position="1">
          <color rgb="FF7A88DA"/>
        </stop>
      </gradientFill>
    </fill>
    <fill>
      <gradientFill type="path" left="0.5" right="0.5" top="0.5" bottom="0.5">
        <stop position="0">
          <color rgb="FFCCA2E2"/>
        </stop>
        <stop position="1">
          <color rgb="FFABECF7"/>
        </stop>
      </gradientFill>
    </fill>
    <fill>
      <gradientFill type="path" left="0.5" right="0.5" top="0.5" bottom="0.5">
        <stop position="0">
          <color rgb="FFEB5B5E"/>
        </stop>
        <stop position="1">
          <color rgb="FFFF7651"/>
        </stop>
      </gradientFill>
    </fill>
    <fill>
      <gradientFill type="path" left="0.5" right="0.5" top="0.5" bottom="0.5">
        <stop position="0">
          <color rgb="FFABECF7"/>
        </stop>
        <stop position="1">
          <color theme="6" tint="0.4"/>
        </stop>
      </gradientFill>
    </fill>
    <fill>
      <gradientFill type="path" left="0.5" right="0.5" top="0.5" bottom="0.5">
        <stop position="0">
          <color rgb="FFEB5B5E"/>
        </stop>
        <stop position="1">
          <color theme="5" tint="0.4"/>
        </stop>
      </gradientFill>
    </fill>
    <fill>
      <gradientFill type="path" left="0.5" right="0.5" top="0.5" bottom="0.5">
        <stop position="0">
          <color rgb="FFABECF7"/>
        </stop>
        <stop position="1">
          <color rgb="FF7A88DA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ck">
        <color theme="2" tint="-0.25"/>
      </left>
      <right style="thick">
        <color theme="2" tint="-0.25"/>
      </right>
      <top style="thick">
        <color theme="2" tint="-0.25"/>
      </top>
      <bottom style="thick">
        <color theme="2" tint="-0.25"/>
      </bottom>
      <diagonal/>
    </border>
    <border>
      <left style="thick">
        <color theme="2" tint="-0.25"/>
      </left>
      <right/>
      <top style="thick">
        <color theme="2" tint="-0.25"/>
      </top>
      <bottom style="thick">
        <color theme="2" tint="-0.25"/>
      </bottom>
      <diagonal/>
    </border>
    <border>
      <left/>
      <right/>
      <top style="thick">
        <color theme="2" tint="-0.25"/>
      </top>
      <bottom style="thick">
        <color theme="2" tint="-0.25"/>
      </bottom>
      <diagonal/>
    </border>
    <border>
      <left/>
      <right style="thick">
        <color theme="2" tint="-0.25"/>
      </right>
      <top style="thick">
        <color theme="2" tint="-0.25"/>
      </top>
      <bottom style="thick">
        <color theme="2" tint="-0.25"/>
      </bottom>
      <diagonal/>
    </border>
    <border>
      <left style="thick">
        <color theme="2" tint="-0.25"/>
      </left>
      <right style="thick">
        <color theme="2" tint="-0.25"/>
      </right>
      <top/>
      <bottom style="thick">
        <color theme="2" tint="-0.25"/>
      </bottom>
      <diagonal/>
    </border>
    <border>
      <left style="medium">
        <color theme="1" tint="0.5"/>
      </left>
      <right style="medium">
        <color theme="1" tint="0.5"/>
      </right>
      <top style="medium">
        <color theme="1" tint="0.5"/>
      </top>
      <bottom style="medium">
        <color theme="1" tint="0.5"/>
      </bottom>
      <diagonal/>
    </border>
    <border>
      <left/>
      <right style="thick">
        <color theme="2" tint="-0.1"/>
      </right>
      <top/>
      <bottom style="thick">
        <color theme="2" tint="-0.1"/>
      </bottom>
      <diagonal/>
    </border>
    <border>
      <left style="thick">
        <color theme="2" tint="-0.1"/>
      </left>
      <right style="thick">
        <color theme="2" tint="-0.1"/>
      </right>
      <top/>
      <bottom style="thick">
        <color theme="2" tint="-0.1"/>
      </bottom>
      <diagonal/>
    </border>
    <border>
      <left style="thick">
        <color theme="2" tint="-0.1"/>
      </left>
      <right/>
      <top/>
      <bottom style="thick">
        <color theme="2" tint="-0.1"/>
      </bottom>
      <diagonal/>
    </border>
    <border>
      <left style="medium">
        <color theme="1" tint="0.5"/>
      </left>
      <right style="medium">
        <color theme="1" tint="0.5"/>
      </right>
      <top style="medium">
        <color theme="1" tint="0.5"/>
      </top>
      <bottom/>
      <diagonal/>
    </border>
    <border>
      <left style="medium">
        <color theme="1" tint="0.5"/>
      </left>
      <right style="medium">
        <color theme="1" tint="0.5"/>
      </right>
      <top/>
      <bottom style="medium">
        <color theme="1" tint="0.5"/>
      </bottom>
      <diagonal/>
    </border>
    <border>
      <left style="medium">
        <color theme="1" tint="0.5"/>
      </left>
      <right style="medium">
        <color theme="1" tint="0.5"/>
      </right>
      <top/>
      <bottom/>
      <diagonal/>
    </border>
    <border>
      <left/>
      <right style="thick">
        <color theme="2" tint="-0.1"/>
      </right>
      <top/>
      <bottom/>
      <diagonal/>
    </border>
    <border>
      <left style="thick">
        <color theme="2" tint="-0.1"/>
      </left>
      <right style="thick">
        <color theme="2" tint="-0.1"/>
      </right>
      <top/>
      <bottom/>
      <diagonal/>
    </border>
    <border>
      <left style="thick">
        <color theme="2" tint="-0.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8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9" borderId="19" applyNumberFormat="0" applyAlignment="0" applyProtection="0">
      <alignment vertical="center"/>
    </xf>
    <xf numFmtId="0" fontId="22" fillId="40" borderId="20" applyNumberFormat="0" applyAlignment="0" applyProtection="0">
      <alignment vertical="center"/>
    </xf>
    <xf numFmtId="0" fontId="23" fillId="40" borderId="19" applyNumberFormat="0" applyAlignment="0" applyProtection="0">
      <alignment vertical="center"/>
    </xf>
    <xf numFmtId="0" fontId="24" fillId="41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0" fillId="65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0" fillId="68" borderId="0" applyNumberFormat="0" applyBorder="0" applyAlignment="0" applyProtection="0">
      <alignment vertical="center"/>
    </xf>
  </cellStyleXfs>
  <cellXfs count="40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5" fillId="5" borderId="7" xfId="0" applyNumberFormat="1" applyFont="1" applyFill="1" applyBorder="1" applyAlignment="1">
      <alignment horizontal="center" vertical="center" wrapText="1"/>
    </xf>
    <xf numFmtId="0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NumberFormat="1" applyFont="1" applyFill="1" applyBorder="1" applyAlignment="1">
      <alignment horizontal="center" vertical="center" wrapText="1"/>
    </xf>
    <xf numFmtId="0" fontId="6" fillId="5" borderId="9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0" fontId="0" fillId="6" borderId="6" xfId="0" applyFill="1" applyBorder="1" applyAlignment="1">
      <alignment horizontal="center" vertical="center" wrapText="1"/>
    </xf>
    <xf numFmtId="0" fontId="6" fillId="5" borderId="7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6" xfId="0" applyFill="1" applyBorder="1" applyAlignment="1">
      <alignment vertical="center"/>
    </xf>
    <xf numFmtId="0" fontId="0" fillId="8" borderId="6" xfId="0" applyFill="1" applyBorder="1" applyAlignment="1">
      <alignment horizontal="center" vertical="center" wrapText="1"/>
    </xf>
    <xf numFmtId="0" fontId="6" fillId="5" borderId="8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7" fillId="10" borderId="6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6" xfId="0" applyFill="1" applyBorder="1" applyAlignment="1">
      <alignment vertical="center"/>
    </xf>
    <xf numFmtId="0" fontId="0" fillId="11" borderId="6" xfId="0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6" xfId="0" applyFill="1" applyBorder="1" applyAlignment="1">
      <alignment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6" xfId="0" applyFill="1" applyBorder="1" applyAlignment="1">
      <alignment vertical="center"/>
    </xf>
    <xf numFmtId="0" fontId="7" fillId="13" borderId="6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6" xfId="0" applyFill="1" applyBorder="1" applyAlignment="1">
      <alignment vertical="center"/>
    </xf>
    <xf numFmtId="0" fontId="7" fillId="14" borderId="6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0" xfId="0" applyFill="1" applyBorder="1" applyAlignment="1">
      <alignment vertical="center"/>
    </xf>
    <xf numFmtId="0" fontId="7" fillId="15" borderId="10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0" fillId="16" borderId="6" xfId="0" applyFill="1" applyBorder="1" applyAlignment="1">
      <alignment vertical="center"/>
    </xf>
    <xf numFmtId="0" fontId="7" fillId="16" borderId="6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17" borderId="10" xfId="0" applyFill="1" applyBorder="1" applyAlignment="1">
      <alignment vertical="center"/>
    </xf>
    <xf numFmtId="0" fontId="7" fillId="17" borderId="10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0" fillId="18" borderId="6" xfId="0" applyFill="1" applyBorder="1" applyAlignment="1">
      <alignment vertical="center"/>
    </xf>
    <xf numFmtId="0" fontId="0" fillId="18" borderId="6" xfId="0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0" xfId="0" applyFill="1" applyBorder="1" applyAlignment="1">
      <alignment vertical="center"/>
    </xf>
    <xf numFmtId="0" fontId="8" fillId="11" borderId="10" xfId="0" applyFont="1" applyFill="1" applyBorder="1" applyAlignment="1">
      <alignment horizontal="center" vertical="center"/>
    </xf>
    <xf numFmtId="0" fontId="0" fillId="19" borderId="6" xfId="0" applyFill="1" applyBorder="1" applyAlignment="1">
      <alignment horizontal="center" vertical="center"/>
    </xf>
    <xf numFmtId="0" fontId="0" fillId="19" borderId="6" xfId="0" applyFill="1" applyBorder="1" applyAlignment="1">
      <alignment vertical="center"/>
    </xf>
    <xf numFmtId="0" fontId="7" fillId="19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0" fillId="20" borderId="6" xfId="0" applyFill="1" applyBorder="1" applyAlignment="1">
      <alignment vertical="center"/>
    </xf>
    <xf numFmtId="0" fontId="0" fillId="20" borderId="6" xfId="0" applyFill="1" applyBorder="1" applyAlignment="1">
      <alignment horizontal="center" vertical="center" wrapText="1"/>
    </xf>
    <xf numFmtId="0" fontId="7" fillId="20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/>
    </xf>
    <xf numFmtId="0" fontId="0" fillId="21" borderId="11" xfId="0" applyFill="1" applyBorder="1" applyAlignment="1">
      <alignment horizontal="center" vertical="center"/>
    </xf>
    <xf numFmtId="0" fontId="0" fillId="21" borderId="11" xfId="0" applyFill="1" applyBorder="1" applyAlignment="1">
      <alignment vertical="center"/>
    </xf>
    <xf numFmtId="0" fontId="7" fillId="21" borderId="11" xfId="0" applyFont="1" applyFill="1" applyBorder="1" applyAlignment="1">
      <alignment horizontal="center" vertical="center"/>
    </xf>
    <xf numFmtId="0" fontId="8" fillId="21" borderId="11" xfId="0" applyFont="1" applyFill="1" applyBorder="1" applyAlignment="1">
      <alignment horizontal="center" vertical="center"/>
    </xf>
    <xf numFmtId="0" fontId="0" fillId="22" borderId="6" xfId="0" applyFill="1" applyBorder="1" applyAlignment="1">
      <alignment horizontal="center" vertical="center"/>
    </xf>
    <xf numFmtId="0" fontId="0" fillId="22" borderId="6" xfId="0" applyFill="1" applyBorder="1" applyAlignment="1">
      <alignment vertical="center"/>
    </xf>
    <xf numFmtId="0" fontId="7" fillId="22" borderId="6" xfId="0" applyFont="1" applyFill="1" applyBorder="1" applyAlignment="1">
      <alignment horizontal="center" vertical="center"/>
    </xf>
    <xf numFmtId="0" fontId="8" fillId="22" borderId="6" xfId="0" applyFont="1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0" fontId="0" fillId="23" borderId="10" xfId="0" applyFill="1" applyBorder="1" applyAlignment="1">
      <alignment vertical="center"/>
    </xf>
    <xf numFmtId="0" fontId="7" fillId="18" borderId="10" xfId="0" applyFont="1" applyFill="1" applyBorder="1" applyAlignment="1">
      <alignment horizontal="center" vertical="center"/>
    </xf>
    <xf numFmtId="0" fontId="8" fillId="18" borderId="10" xfId="0" applyFont="1" applyFill="1" applyBorder="1" applyAlignment="1">
      <alignment horizontal="center" vertical="center"/>
    </xf>
    <xf numFmtId="0" fontId="0" fillId="21" borderId="6" xfId="0" applyFill="1" applyBorder="1" applyAlignment="1">
      <alignment horizontal="center" vertical="center"/>
    </xf>
    <xf numFmtId="0" fontId="0" fillId="21" borderId="6" xfId="0" applyFill="1" applyBorder="1" applyAlignment="1">
      <alignment vertical="center"/>
    </xf>
    <xf numFmtId="0" fontId="7" fillId="21" borderId="6" xfId="0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center" vertical="center"/>
    </xf>
    <xf numFmtId="0" fontId="0" fillId="18" borderId="10" xfId="0" applyFill="1" applyBorder="1" applyAlignment="1">
      <alignment vertical="center"/>
    </xf>
    <xf numFmtId="0" fontId="0" fillId="24" borderId="6" xfId="0" applyFill="1" applyBorder="1" applyAlignment="1">
      <alignment horizontal="center" vertical="center"/>
    </xf>
    <xf numFmtId="0" fontId="0" fillId="24" borderId="6" xfId="0" applyFill="1" applyBorder="1" applyAlignment="1">
      <alignment vertical="center"/>
    </xf>
    <xf numFmtId="0" fontId="7" fillId="24" borderId="6" xfId="0" applyFont="1" applyFill="1" applyBorder="1" applyAlignment="1">
      <alignment horizontal="center" vertical="center"/>
    </xf>
    <xf numFmtId="0" fontId="8" fillId="24" borderId="6" xfId="0" applyFont="1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6" xfId="0" applyFill="1" applyBorder="1" applyAlignment="1">
      <alignment vertical="center"/>
    </xf>
    <xf numFmtId="0" fontId="7" fillId="15" borderId="6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0" fontId="0" fillId="22" borderId="6" xfId="0" applyFill="1" applyBorder="1" applyAlignment="1">
      <alignment horizontal="center" vertical="center" wrapText="1"/>
    </xf>
    <xf numFmtId="0" fontId="0" fillId="25" borderId="6" xfId="0" applyFill="1" applyBorder="1" applyAlignment="1">
      <alignment horizontal="center" vertical="center"/>
    </xf>
    <xf numFmtId="0" fontId="0" fillId="25" borderId="6" xfId="0" applyFill="1" applyBorder="1" applyAlignment="1">
      <alignment vertical="center"/>
    </xf>
    <xf numFmtId="0" fontId="7" fillId="25" borderId="6" xfId="0" applyFont="1" applyFill="1" applyBorder="1" applyAlignment="1">
      <alignment horizontal="center" vertical="center"/>
    </xf>
    <xf numFmtId="0" fontId="8" fillId="25" borderId="6" xfId="0" applyFont="1" applyFill="1" applyBorder="1" applyAlignment="1">
      <alignment horizontal="center" vertical="center"/>
    </xf>
    <xf numFmtId="0" fontId="0" fillId="26" borderId="6" xfId="0" applyFill="1" applyBorder="1" applyAlignment="1">
      <alignment horizontal="center" vertical="center"/>
    </xf>
    <xf numFmtId="0" fontId="0" fillId="26" borderId="6" xfId="0" applyFill="1" applyBorder="1" applyAlignment="1">
      <alignment vertical="center"/>
    </xf>
    <xf numFmtId="0" fontId="7" fillId="26" borderId="6" xfId="0" applyFont="1" applyFill="1" applyBorder="1" applyAlignment="1">
      <alignment horizontal="center" vertical="center"/>
    </xf>
    <xf numFmtId="0" fontId="8" fillId="26" borderId="6" xfId="0" applyFont="1" applyFill="1" applyBorder="1" applyAlignment="1">
      <alignment horizontal="center" vertical="center"/>
    </xf>
    <xf numFmtId="0" fontId="0" fillId="27" borderId="6" xfId="0" applyFill="1" applyBorder="1" applyAlignment="1">
      <alignment horizontal="center" vertical="center"/>
    </xf>
    <xf numFmtId="0" fontId="0" fillId="27" borderId="6" xfId="0" applyFill="1" applyBorder="1" applyAlignment="1">
      <alignment vertical="center"/>
    </xf>
    <xf numFmtId="0" fontId="0" fillId="27" borderId="6" xfId="0" applyFill="1" applyBorder="1" applyAlignment="1">
      <alignment horizontal="center" vertical="center" wrapText="1"/>
    </xf>
    <xf numFmtId="0" fontId="7" fillId="27" borderId="6" xfId="0" applyFont="1" applyFill="1" applyBorder="1" applyAlignment="1">
      <alignment horizontal="center" vertical="center"/>
    </xf>
    <xf numFmtId="0" fontId="8" fillId="27" borderId="6" xfId="0" applyFont="1" applyFill="1" applyBorder="1" applyAlignment="1">
      <alignment horizontal="center" vertical="center"/>
    </xf>
    <xf numFmtId="0" fontId="0" fillId="22" borderId="10" xfId="0" applyFill="1" applyBorder="1" applyAlignment="1">
      <alignment horizontal="center" vertical="center"/>
    </xf>
    <xf numFmtId="0" fontId="0" fillId="22" borderId="10" xfId="0" applyFill="1" applyBorder="1" applyAlignment="1">
      <alignment vertical="center"/>
    </xf>
    <xf numFmtId="0" fontId="0" fillId="22" borderId="10" xfId="0" applyFont="1" applyFill="1" applyBorder="1" applyAlignment="1">
      <alignment horizontal="center" vertical="center" wrapText="1"/>
    </xf>
    <xf numFmtId="0" fontId="7" fillId="22" borderId="10" xfId="0" applyFont="1" applyFill="1" applyBorder="1" applyAlignment="1">
      <alignment horizontal="center" vertical="center"/>
    </xf>
    <xf numFmtId="0" fontId="8" fillId="22" borderId="10" xfId="0" applyFont="1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6" xfId="0" applyFill="1" applyBorder="1" applyAlignment="1">
      <alignment vertical="center"/>
    </xf>
    <xf numFmtId="0" fontId="0" fillId="17" borderId="6" xfId="0" applyFill="1" applyBorder="1" applyAlignment="1">
      <alignment horizontal="center" vertical="center" wrapText="1"/>
    </xf>
    <xf numFmtId="0" fontId="7" fillId="17" borderId="6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1" xfId="0" applyFill="1" applyBorder="1" applyAlignment="1">
      <alignment vertical="center"/>
    </xf>
    <xf numFmtId="0" fontId="7" fillId="13" borderId="11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0" fillId="26" borderId="6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/>
    </xf>
    <xf numFmtId="0" fontId="0" fillId="28" borderId="6" xfId="0" applyFill="1" applyBorder="1" applyAlignment="1">
      <alignment vertical="center"/>
    </xf>
    <xf numFmtId="0" fontId="7" fillId="28" borderId="6" xfId="0" applyFont="1" applyFill="1" applyBorder="1" applyAlignment="1">
      <alignment horizontal="center" vertical="center"/>
    </xf>
    <xf numFmtId="0" fontId="8" fillId="28" borderId="6" xfId="0" applyFont="1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 wrapText="1"/>
    </xf>
    <xf numFmtId="0" fontId="0" fillId="29" borderId="11" xfId="0" applyFill="1" applyBorder="1" applyAlignment="1">
      <alignment horizontal="center" vertical="center"/>
    </xf>
    <xf numFmtId="0" fontId="0" fillId="29" borderId="11" xfId="0" applyFill="1" applyBorder="1" applyAlignment="1">
      <alignment vertical="center"/>
    </xf>
    <xf numFmtId="0" fontId="7" fillId="29" borderId="11" xfId="0" applyFont="1" applyFill="1" applyBorder="1" applyAlignment="1">
      <alignment horizontal="center" vertical="center"/>
    </xf>
    <xf numFmtId="0" fontId="8" fillId="29" borderId="11" xfId="0" applyFont="1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vertical="center"/>
    </xf>
    <xf numFmtId="0" fontId="7" fillId="24" borderId="10" xfId="0" applyFont="1" applyFill="1" applyBorder="1" applyAlignment="1">
      <alignment horizontal="center" vertical="center"/>
    </xf>
    <xf numFmtId="0" fontId="8" fillId="24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0" fontId="0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center" vertical="center"/>
    </xf>
    <xf numFmtId="0" fontId="0" fillId="26" borderId="11" xfId="0" applyFill="1" applyBorder="1" applyAlignment="1">
      <alignment vertical="center"/>
    </xf>
    <xf numFmtId="0" fontId="7" fillId="26" borderId="11" xfId="0" applyFont="1" applyFill="1" applyBorder="1" applyAlignment="1">
      <alignment horizontal="center" vertical="center"/>
    </xf>
    <xf numFmtId="0" fontId="8" fillId="26" borderId="11" xfId="0" applyFont="1" applyFill="1" applyBorder="1" applyAlignment="1">
      <alignment horizontal="center" vertical="center"/>
    </xf>
    <xf numFmtId="0" fontId="0" fillId="30" borderId="6" xfId="0" applyFill="1" applyBorder="1" applyAlignment="1">
      <alignment horizontal="center" vertical="center"/>
    </xf>
    <xf numFmtId="0" fontId="0" fillId="30" borderId="6" xfId="0" applyFill="1" applyBorder="1" applyAlignment="1">
      <alignment vertical="center"/>
    </xf>
    <xf numFmtId="0" fontId="7" fillId="30" borderId="6" xfId="0" applyFont="1" applyFill="1" applyBorder="1" applyAlignment="1">
      <alignment horizontal="center" vertical="center"/>
    </xf>
    <xf numFmtId="0" fontId="8" fillId="30" borderId="6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6" borderId="10" xfId="0" applyFont="1" applyFill="1" applyBorder="1" applyAlignment="1">
      <alignment horizontal="center" vertical="center"/>
    </xf>
    <xf numFmtId="0" fontId="0" fillId="26" borderId="10" xfId="0" applyFill="1" applyBorder="1" applyAlignment="1">
      <alignment vertical="center"/>
    </xf>
    <xf numFmtId="0" fontId="7" fillId="26" borderId="10" xfId="0" applyFont="1" applyFill="1" applyBorder="1" applyAlignment="1">
      <alignment horizontal="center" vertical="center"/>
    </xf>
    <xf numFmtId="0" fontId="8" fillId="26" borderId="10" xfId="0" applyFont="1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/>
    </xf>
    <xf numFmtId="0" fontId="0" fillId="25" borderId="11" xfId="0" applyFill="1" applyBorder="1" applyAlignment="1">
      <alignment vertical="center"/>
    </xf>
    <xf numFmtId="0" fontId="7" fillId="25" borderId="11" xfId="0" applyFont="1" applyFill="1" applyBorder="1" applyAlignment="1">
      <alignment horizontal="center" vertical="center"/>
    </xf>
    <xf numFmtId="0" fontId="8" fillId="25" borderId="11" xfId="0" applyFon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0" fillId="16" borderId="11" xfId="0" applyFill="1" applyBorder="1" applyAlignment="1">
      <alignment vertical="center"/>
    </xf>
    <xf numFmtId="0" fontId="7" fillId="16" borderId="11" xfId="0" applyFont="1" applyFill="1" applyBorder="1" applyAlignment="1">
      <alignment horizontal="center" vertical="center"/>
    </xf>
    <xf numFmtId="0" fontId="8" fillId="16" borderId="11" xfId="0" applyFont="1" applyFill="1" applyBorder="1" applyAlignment="1">
      <alignment horizontal="center" vertical="center"/>
    </xf>
    <xf numFmtId="0" fontId="0" fillId="14" borderId="6" xfId="0" applyFont="1" applyFill="1" applyBorder="1" applyAlignment="1">
      <alignment horizontal="center" vertical="center" wrapText="1"/>
    </xf>
    <xf numFmtId="0" fontId="0" fillId="31" borderId="6" xfId="0" applyFill="1" applyBorder="1" applyAlignment="1">
      <alignment horizontal="center" vertical="center"/>
    </xf>
    <xf numFmtId="0" fontId="0" fillId="31" borderId="6" xfId="0" applyFill="1" applyBorder="1" applyAlignment="1">
      <alignment vertical="center"/>
    </xf>
    <xf numFmtId="0" fontId="7" fillId="31" borderId="6" xfId="0" applyFont="1" applyFill="1" applyBorder="1" applyAlignment="1">
      <alignment horizontal="center" vertical="center"/>
    </xf>
    <xf numFmtId="0" fontId="8" fillId="31" borderId="6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7" fillId="11" borderId="11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1" xfId="0" applyFill="1" applyBorder="1" applyAlignment="1">
      <alignment vertical="center"/>
    </xf>
    <xf numFmtId="0" fontId="7" fillId="30" borderId="11" xfId="0" applyFont="1" applyFill="1" applyBorder="1" applyAlignment="1">
      <alignment horizontal="center" vertical="center"/>
    </xf>
    <xf numFmtId="0" fontId="8" fillId="30" borderId="11" xfId="0" applyFont="1" applyFill="1" applyBorder="1" applyAlignment="1">
      <alignment horizontal="center" vertical="center"/>
    </xf>
    <xf numFmtId="0" fontId="0" fillId="32" borderId="6" xfId="0" applyFill="1" applyBorder="1" applyAlignment="1">
      <alignment horizontal="center" vertical="center"/>
    </xf>
    <xf numFmtId="0" fontId="0" fillId="32" borderId="6" xfId="0" applyFill="1" applyBorder="1" applyAlignment="1">
      <alignment vertical="center"/>
    </xf>
    <xf numFmtId="0" fontId="0" fillId="32" borderId="6" xfId="0" applyFill="1" applyBorder="1" applyAlignment="1">
      <alignment horizontal="center" vertical="center" wrapText="1"/>
    </xf>
    <xf numFmtId="0" fontId="7" fillId="32" borderId="6" xfId="0" applyFont="1" applyFill="1" applyBorder="1" applyAlignment="1">
      <alignment horizontal="center" vertical="center"/>
    </xf>
    <xf numFmtId="0" fontId="8" fillId="32" borderId="6" xfId="0" applyFont="1" applyFill="1" applyBorder="1" applyAlignment="1">
      <alignment horizontal="center" vertical="center"/>
    </xf>
    <xf numFmtId="0" fontId="0" fillId="33" borderId="6" xfId="0" applyFill="1" applyBorder="1" applyAlignment="1">
      <alignment horizontal="center" vertical="center"/>
    </xf>
    <xf numFmtId="0" fontId="0" fillId="33" borderId="6" xfId="0" applyFill="1" applyBorder="1" applyAlignment="1">
      <alignment vertical="center"/>
    </xf>
    <xf numFmtId="0" fontId="0" fillId="33" borderId="6" xfId="0" applyFill="1" applyBorder="1" applyAlignment="1">
      <alignment horizontal="center" vertical="center" wrapText="1"/>
    </xf>
    <xf numFmtId="0" fontId="7" fillId="33" borderId="6" xfId="0" applyFont="1" applyFill="1" applyBorder="1" applyAlignment="1">
      <alignment horizontal="center" vertical="center"/>
    </xf>
    <xf numFmtId="0" fontId="8" fillId="33" borderId="6" xfId="0" applyFont="1" applyFill="1" applyBorder="1" applyAlignment="1">
      <alignment horizontal="center" vertical="center"/>
    </xf>
    <xf numFmtId="0" fontId="0" fillId="21" borderId="10" xfId="0" applyFill="1" applyBorder="1" applyAlignment="1">
      <alignment horizontal="center" vertical="center"/>
    </xf>
    <xf numFmtId="0" fontId="0" fillId="21" borderId="10" xfId="0" applyFill="1" applyBorder="1" applyAlignment="1">
      <alignment vertical="center"/>
    </xf>
    <xf numFmtId="0" fontId="7" fillId="21" borderId="10" xfId="0" applyFont="1" applyFill="1" applyBorder="1" applyAlignment="1">
      <alignment horizontal="center" vertical="center"/>
    </xf>
    <xf numFmtId="0" fontId="8" fillId="21" borderId="10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3" borderId="12" xfId="0" applyFill="1" applyBorder="1" applyAlignment="1">
      <alignment vertical="center"/>
    </xf>
    <xf numFmtId="0" fontId="7" fillId="13" borderId="12" xfId="0" applyFont="1" applyFill="1" applyBorder="1" applyAlignment="1">
      <alignment horizontal="center" vertical="center"/>
    </xf>
    <xf numFmtId="0" fontId="8" fillId="13" borderId="12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 applyAlignment="1">
      <alignment vertical="center"/>
    </xf>
    <xf numFmtId="0" fontId="0" fillId="34" borderId="10" xfId="0" applyFill="1" applyBorder="1" applyAlignment="1">
      <alignment horizontal="center" vertical="center" wrapText="1"/>
    </xf>
    <xf numFmtId="0" fontId="7" fillId="34" borderId="10" xfId="0" applyFont="1" applyFill="1" applyBorder="1" applyAlignment="1">
      <alignment horizontal="center" vertical="center"/>
    </xf>
    <xf numFmtId="0" fontId="8" fillId="34" borderId="10" xfId="0" applyFont="1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0" fontId="7" fillId="12" borderId="1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0" fillId="35" borderId="6" xfId="0" applyFill="1" applyBorder="1" applyAlignment="1">
      <alignment horizontal="center" vertical="center"/>
    </xf>
    <xf numFmtId="0" fontId="0" fillId="35" borderId="6" xfId="0" applyFill="1" applyBorder="1" applyAlignment="1">
      <alignment vertical="center"/>
    </xf>
    <xf numFmtId="0" fontId="7" fillId="35" borderId="6" xfId="0" applyFont="1" applyFill="1" applyBorder="1" applyAlignment="1">
      <alignment horizontal="center" vertical="center"/>
    </xf>
    <xf numFmtId="0" fontId="8" fillId="35" borderId="6" xfId="0" applyFont="1" applyFill="1" applyBorder="1" applyAlignment="1">
      <alignment horizontal="center" vertical="center"/>
    </xf>
    <xf numFmtId="0" fontId="0" fillId="36" borderId="6" xfId="0" applyFill="1" applyBorder="1" applyAlignment="1">
      <alignment horizontal="center" vertical="center"/>
    </xf>
    <xf numFmtId="0" fontId="0" fillId="36" borderId="6" xfId="0" applyFill="1" applyBorder="1" applyAlignment="1">
      <alignment vertical="center"/>
    </xf>
    <xf numFmtId="0" fontId="7" fillId="36" borderId="6" xfId="0" applyFont="1" applyFill="1" applyBorder="1" applyAlignment="1">
      <alignment horizontal="center" vertical="center"/>
    </xf>
    <xf numFmtId="0" fontId="8" fillId="36" borderId="6" xfId="0" applyFont="1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24" borderId="11" xfId="0" applyFill="1" applyBorder="1" applyAlignment="1">
      <alignment vertical="center"/>
    </xf>
    <xf numFmtId="0" fontId="7" fillId="24" borderId="11" xfId="0" applyFont="1" applyFill="1" applyBorder="1" applyAlignment="1">
      <alignment horizontal="center" vertical="center"/>
    </xf>
    <xf numFmtId="0" fontId="8" fillId="24" borderId="11" xfId="0" applyFont="1" applyFill="1" applyBorder="1" applyAlignment="1">
      <alignment horizontal="center" vertical="center"/>
    </xf>
    <xf numFmtId="0" fontId="0" fillId="16" borderId="10" xfId="0" applyFill="1" applyBorder="1" applyAlignment="1">
      <alignment horizontal="center" vertical="center"/>
    </xf>
    <xf numFmtId="0" fontId="0" fillId="16" borderId="10" xfId="0" applyFill="1" applyBorder="1" applyAlignment="1">
      <alignment vertical="center"/>
    </xf>
    <xf numFmtId="0" fontId="7" fillId="16" borderId="10" xfId="0" applyFont="1" applyFill="1" applyBorder="1" applyAlignment="1">
      <alignment horizontal="center" vertical="center"/>
    </xf>
    <xf numFmtId="0" fontId="8" fillId="16" borderId="10" xfId="0" applyFon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0" xfId="0" applyFill="1" applyBorder="1" applyAlignment="1">
      <alignment vertical="center"/>
    </xf>
    <xf numFmtId="0" fontId="7" fillId="13" borderId="10" xfId="0" applyFont="1" applyFill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11" xfId="0" applyFill="1" applyBorder="1" applyAlignment="1">
      <alignment vertical="center"/>
    </xf>
    <xf numFmtId="0" fontId="8" fillId="12" borderId="11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/>
    </xf>
    <xf numFmtId="0" fontId="0" fillId="16" borderId="6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/>
    </xf>
    <xf numFmtId="0" fontId="0" fillId="37" borderId="10" xfId="0" applyFill="1" applyBorder="1" applyAlignment="1">
      <alignment vertical="center"/>
    </xf>
    <xf numFmtId="0" fontId="0" fillId="37" borderId="10" xfId="0" applyFill="1" applyBorder="1" applyAlignment="1">
      <alignment horizontal="center" vertical="center" wrapText="1"/>
    </xf>
    <xf numFmtId="0" fontId="7" fillId="37" borderId="10" xfId="0" applyFont="1" applyFill="1" applyBorder="1" applyAlignment="1">
      <alignment horizontal="center" vertical="center"/>
    </xf>
    <xf numFmtId="0" fontId="8" fillId="37" borderId="10" xfId="0" applyFon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 wrapText="1"/>
    </xf>
    <xf numFmtId="0" fontId="0" fillId="24" borderId="6" xfId="0" applyFont="1" applyFill="1" applyBorder="1" applyAlignment="1">
      <alignment horizontal="center" vertical="center" wrapText="1"/>
    </xf>
    <xf numFmtId="0" fontId="0" fillId="22" borderId="10" xfId="0" applyFill="1" applyBorder="1" applyAlignment="1">
      <alignment horizontal="center" vertical="center" wrapText="1"/>
    </xf>
    <xf numFmtId="0" fontId="0" fillId="16" borderId="10" xfId="0" applyFont="1" applyFill="1" applyBorder="1" applyAlignment="1">
      <alignment horizontal="center" vertical="center"/>
    </xf>
    <xf numFmtId="0" fontId="0" fillId="16" borderId="6" xfId="0" applyFont="1" applyFill="1" applyBorder="1" applyAlignment="1">
      <alignment horizontal="center" vertical="center"/>
    </xf>
    <xf numFmtId="0" fontId="0" fillId="21" borderId="6" xfId="0" applyFont="1" applyFill="1" applyBorder="1" applyAlignment="1">
      <alignment horizontal="center" vertical="center" wrapText="1"/>
    </xf>
    <xf numFmtId="0" fontId="0" fillId="14" borderId="11" xfId="0" applyFill="1" applyBorder="1" applyAlignment="1">
      <alignment horizontal="center" vertical="center"/>
    </xf>
    <xf numFmtId="0" fontId="0" fillId="14" borderId="11" xfId="0" applyFont="1" applyFill="1" applyBorder="1" applyAlignment="1">
      <alignment horizontal="center" vertical="center"/>
    </xf>
    <xf numFmtId="0" fontId="0" fillId="14" borderId="11" xfId="0" applyFill="1" applyBorder="1" applyAlignment="1">
      <alignment vertical="center"/>
    </xf>
    <xf numFmtId="0" fontId="7" fillId="14" borderId="11" xfId="0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ont="1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0" fontId="7" fillId="12" borderId="0" xfId="0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11" xfId="0" applyFill="1" applyBorder="1" applyAlignment="1">
      <alignment vertical="center"/>
    </xf>
    <xf numFmtId="0" fontId="7" fillId="15" borderId="11" xfId="0" applyFont="1" applyFill="1" applyBorder="1" applyAlignment="1">
      <alignment horizontal="center" vertical="center"/>
    </xf>
    <xf numFmtId="0" fontId="8" fillId="15" borderId="11" xfId="0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5" borderId="12" xfId="0" applyFill="1" applyBorder="1" applyAlignment="1">
      <alignment vertical="center"/>
    </xf>
    <xf numFmtId="0" fontId="7" fillId="15" borderId="12" xfId="0" applyFont="1" applyFill="1" applyBorder="1" applyAlignment="1">
      <alignment horizontal="center" vertical="center"/>
    </xf>
    <xf numFmtId="0" fontId="8" fillId="15" borderId="12" xfId="0" applyFont="1" applyFill="1" applyBorder="1" applyAlignment="1">
      <alignment horizontal="center" vertical="center"/>
    </xf>
    <xf numFmtId="0" fontId="0" fillId="22" borderId="12" xfId="0" applyFill="1" applyBorder="1" applyAlignment="1">
      <alignment horizontal="center" vertical="center"/>
    </xf>
    <xf numFmtId="0" fontId="0" fillId="22" borderId="12" xfId="0" applyFill="1" applyBorder="1" applyAlignment="1">
      <alignment vertical="center"/>
    </xf>
    <xf numFmtId="0" fontId="7" fillId="22" borderId="12" xfId="0" applyFont="1" applyFill="1" applyBorder="1" applyAlignment="1">
      <alignment horizontal="center" vertical="center"/>
    </xf>
    <xf numFmtId="0" fontId="8" fillId="22" borderId="12" xfId="0" applyFont="1" applyFill="1" applyBorder="1" applyAlignment="1">
      <alignment horizontal="center" vertical="center"/>
    </xf>
    <xf numFmtId="0" fontId="0" fillId="13" borderId="0" xfId="0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7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10" xfId="0" applyFont="1" applyFill="1" applyBorder="1" applyAlignment="1">
      <alignment horizontal="center" vertical="center"/>
    </xf>
    <xf numFmtId="0" fontId="0" fillId="14" borderId="10" xfId="0" applyFill="1" applyBorder="1" applyAlignment="1">
      <alignment vertical="center"/>
    </xf>
    <xf numFmtId="0" fontId="7" fillId="14" borderId="10" xfId="0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0" fontId="0" fillId="30" borderId="6" xfId="0" applyFont="1" applyFill="1" applyBorder="1" applyAlignment="1">
      <alignment horizontal="center" vertical="center"/>
    </xf>
    <xf numFmtId="0" fontId="0" fillId="15" borderId="11" xfId="0" applyFont="1" applyFill="1" applyBorder="1" applyAlignment="1">
      <alignment horizontal="center" vertical="center"/>
    </xf>
    <xf numFmtId="0" fontId="0" fillId="13" borderId="6" xfId="0" applyFont="1" applyFill="1" applyBorder="1" applyAlignment="1">
      <alignment horizontal="center" vertical="center"/>
    </xf>
    <xf numFmtId="0" fontId="6" fillId="5" borderId="13" xfId="0" applyNumberFormat="1" applyFont="1" applyFill="1" applyBorder="1" applyAlignment="1">
      <alignment horizontal="center" vertical="center" wrapText="1"/>
    </xf>
    <xf numFmtId="0" fontId="6" fillId="5" borderId="14" xfId="0" applyNumberFormat="1" applyFont="1" applyFill="1" applyBorder="1" applyAlignment="1">
      <alignment horizontal="center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/>
    </xf>
    <xf numFmtId="0" fontId="0" fillId="21" borderId="12" xfId="0" applyFill="1" applyBorder="1" applyAlignment="1">
      <alignment vertical="center"/>
    </xf>
    <xf numFmtId="0" fontId="7" fillId="21" borderId="12" xfId="0" applyFont="1" applyFill="1" applyBorder="1" applyAlignment="1">
      <alignment horizontal="center" vertical="center"/>
    </xf>
    <xf numFmtId="0" fontId="8" fillId="21" borderId="12" xfId="0" applyFont="1" applyFill="1" applyBorder="1" applyAlignment="1">
      <alignment horizontal="center" vertical="center"/>
    </xf>
    <xf numFmtId="0" fontId="0" fillId="12" borderId="11" xfId="0" applyFont="1" applyFill="1" applyBorder="1" applyAlignment="1">
      <alignment horizontal="center" vertical="center"/>
    </xf>
    <xf numFmtId="0" fontId="0" fillId="21" borderId="0" xfId="0" applyFill="1" applyBorder="1" applyAlignment="1">
      <alignment horizontal="center" vertical="center"/>
    </xf>
    <xf numFmtId="0" fontId="0" fillId="21" borderId="0" xfId="0" applyFill="1" applyBorder="1" applyAlignment="1">
      <alignment vertical="center"/>
    </xf>
    <xf numFmtId="0" fontId="7" fillId="21" borderId="0" xfId="0" applyFont="1" applyFill="1" applyBorder="1" applyAlignment="1">
      <alignment horizontal="center" vertical="center"/>
    </xf>
    <xf numFmtId="0" fontId="8" fillId="21" borderId="0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0" fillId="8" borderId="10" xfId="0" applyFill="1" applyBorder="1" applyAlignment="1">
      <alignment vertical="center"/>
    </xf>
    <xf numFmtId="0" fontId="0" fillId="8" borderId="10" xfId="0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0" xfId="0" applyFill="1" applyBorder="1" applyAlignment="1">
      <alignment vertical="center"/>
    </xf>
    <xf numFmtId="0" fontId="7" fillId="25" borderId="10" xfId="0" applyFont="1" applyFill="1" applyBorder="1" applyAlignment="1">
      <alignment horizontal="center" vertical="center"/>
    </xf>
    <xf numFmtId="0" fontId="8" fillId="25" borderId="10" xfId="0" applyFont="1" applyFill="1" applyBorder="1" applyAlignment="1">
      <alignment horizontal="center" vertical="center"/>
    </xf>
    <xf numFmtId="0" fontId="0" fillId="34" borderId="6" xfId="0" applyFill="1" applyBorder="1" applyAlignment="1">
      <alignment horizontal="center" vertical="center"/>
    </xf>
    <xf numFmtId="0" fontId="0" fillId="34" borderId="6" xfId="0" applyFill="1" applyBorder="1" applyAlignment="1">
      <alignment vertical="center"/>
    </xf>
    <xf numFmtId="0" fontId="0" fillId="34" borderId="6" xfId="0" applyFill="1" applyBorder="1" applyAlignment="1">
      <alignment horizontal="center" vertical="center" wrapText="1"/>
    </xf>
    <xf numFmtId="0" fontId="7" fillId="34" borderId="6" xfId="0" applyFont="1" applyFill="1" applyBorder="1" applyAlignment="1">
      <alignment horizontal="center" vertical="center"/>
    </xf>
    <xf numFmtId="0" fontId="8" fillId="34" borderId="6" xfId="0" applyFont="1" applyFill="1" applyBorder="1" applyAlignment="1">
      <alignment horizontal="center" vertical="center"/>
    </xf>
    <xf numFmtId="0" fontId="0" fillId="29" borderId="6" xfId="0" applyFill="1" applyBorder="1" applyAlignment="1">
      <alignment horizontal="center" vertical="center"/>
    </xf>
    <xf numFmtId="0" fontId="0" fillId="29" borderId="6" xfId="0" applyFill="1" applyBorder="1" applyAlignment="1">
      <alignment vertical="center"/>
    </xf>
    <xf numFmtId="0" fontId="7" fillId="29" borderId="6" xfId="0" applyFont="1" applyFill="1" applyBorder="1" applyAlignment="1">
      <alignment horizontal="center" vertical="center"/>
    </xf>
    <xf numFmtId="0" fontId="8" fillId="29" borderId="6" xfId="0" applyFont="1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30" borderId="10" xfId="0" applyFill="1" applyBorder="1" applyAlignment="1">
      <alignment vertical="center"/>
    </xf>
    <xf numFmtId="0" fontId="7" fillId="30" borderId="10" xfId="0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0" fillId="18" borderId="11" xfId="0" applyFill="1" applyBorder="1" applyAlignment="1">
      <alignment vertical="center"/>
    </xf>
    <xf numFmtId="0" fontId="7" fillId="18" borderId="11" xfId="0" applyFont="1" applyFill="1" applyBorder="1" applyAlignment="1">
      <alignment horizontal="center" vertical="center"/>
    </xf>
    <xf numFmtId="0" fontId="8" fillId="18" borderId="11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22" borderId="6" xfId="0" applyFont="1" applyFill="1" applyBorder="1" applyAlignment="1">
      <alignment horizontal="center" vertical="center" wrapText="1"/>
    </xf>
    <xf numFmtId="0" fontId="0" fillId="22" borderId="11" xfId="0" applyFill="1" applyBorder="1" applyAlignment="1">
      <alignment horizontal="center" vertical="center"/>
    </xf>
    <xf numFmtId="0" fontId="0" fillId="22" borderId="11" xfId="0" applyFill="1" applyBorder="1" applyAlignment="1">
      <alignment vertical="center"/>
    </xf>
    <xf numFmtId="0" fontId="7" fillId="22" borderId="11" xfId="0" applyFont="1" applyFill="1" applyBorder="1" applyAlignment="1">
      <alignment horizontal="center" vertical="center"/>
    </xf>
    <xf numFmtId="0" fontId="8" fillId="22" borderId="11" xfId="0" applyFont="1" applyFill="1" applyBorder="1" applyAlignment="1">
      <alignment horizontal="center" vertical="center"/>
    </xf>
    <xf numFmtId="0" fontId="0" fillId="37" borderId="6" xfId="0" applyFill="1" applyBorder="1" applyAlignment="1">
      <alignment horizontal="center" vertical="center"/>
    </xf>
    <xf numFmtId="0" fontId="0" fillId="37" borderId="6" xfId="0" applyFill="1" applyBorder="1" applyAlignment="1">
      <alignment vertical="center"/>
    </xf>
    <xf numFmtId="0" fontId="0" fillId="37" borderId="6" xfId="0" applyFill="1" applyBorder="1" applyAlignment="1">
      <alignment horizontal="center" vertical="center" wrapText="1"/>
    </xf>
    <xf numFmtId="0" fontId="7" fillId="37" borderId="6" xfId="0" applyFont="1" applyFill="1" applyBorder="1" applyAlignment="1">
      <alignment horizontal="center" vertical="center"/>
    </xf>
    <xf numFmtId="0" fontId="8" fillId="37" borderId="6" xfId="0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 applyAlignment="1">
      <alignment vertical="center"/>
    </xf>
    <xf numFmtId="0" fontId="7" fillId="35" borderId="10" xfId="0" applyFont="1" applyFill="1" applyBorder="1" applyAlignment="1">
      <alignment horizontal="center" vertical="center"/>
    </xf>
    <xf numFmtId="0" fontId="8" fillId="35" borderId="10" xfId="0" applyFont="1" applyFill="1" applyBorder="1" applyAlignment="1">
      <alignment horizontal="center" vertical="center"/>
    </xf>
    <xf numFmtId="0" fontId="0" fillId="20" borderId="11" xfId="0" applyFill="1" applyBorder="1" applyAlignment="1">
      <alignment horizontal="center" vertical="center"/>
    </xf>
    <xf numFmtId="0" fontId="0" fillId="20" borderId="11" xfId="0" applyFill="1" applyBorder="1" applyAlignment="1">
      <alignment vertical="center"/>
    </xf>
    <xf numFmtId="0" fontId="0" fillId="20" borderId="11" xfId="0" applyFill="1" applyBorder="1" applyAlignment="1">
      <alignment horizontal="center" vertical="center" wrapText="1"/>
    </xf>
    <xf numFmtId="0" fontId="7" fillId="20" borderId="11" xfId="0" applyFont="1" applyFill="1" applyBorder="1" applyAlignment="1">
      <alignment horizontal="center" vertical="center"/>
    </xf>
    <xf numFmtId="0" fontId="8" fillId="20" borderId="11" xfId="0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0" fillId="16" borderId="11" xfId="0" applyFont="1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12" xfId="0" applyFill="1" applyBorder="1" applyAlignment="1">
      <alignment vertical="center"/>
    </xf>
    <xf numFmtId="0" fontId="7" fillId="24" borderId="12" xfId="0" applyFont="1" applyFill="1" applyBorder="1" applyAlignment="1">
      <alignment horizontal="center" vertical="center"/>
    </xf>
    <xf numFmtId="0" fontId="8" fillId="24" borderId="12" xfId="0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horizontal="center" vertical="center" wrapText="1"/>
    </xf>
    <xf numFmtId="0" fontId="0" fillId="14" borderId="12" xfId="0" applyFill="1" applyBorder="1" applyAlignment="1">
      <alignment horizontal="center" vertical="center"/>
    </xf>
    <xf numFmtId="0" fontId="0" fillId="14" borderId="12" xfId="0" applyFill="1" applyBorder="1" applyAlignment="1">
      <alignment vertical="center"/>
    </xf>
    <xf numFmtId="0" fontId="7" fillId="14" borderId="12" xfId="0" applyFont="1" applyFill="1" applyBorder="1" applyAlignment="1">
      <alignment horizontal="center" vertical="center"/>
    </xf>
    <xf numFmtId="0" fontId="8" fillId="14" borderId="12" xfId="0" applyFont="1" applyFill="1" applyBorder="1" applyAlignment="1">
      <alignment horizontal="center" vertical="center"/>
    </xf>
    <xf numFmtId="0" fontId="0" fillId="26" borderId="6" xfId="0" applyFont="1" applyFill="1" applyBorder="1" applyAlignment="1">
      <alignment horizontal="center" vertical="center"/>
    </xf>
    <xf numFmtId="0" fontId="0" fillId="14" borderId="6" xfId="0" applyFont="1" applyFill="1" applyBorder="1" applyAlignment="1">
      <alignment horizontal="center" vertical="center"/>
    </xf>
    <xf numFmtId="0" fontId="0" fillId="21" borderId="11" xfId="0" applyFont="1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/>
    </xf>
    <xf numFmtId="0" fontId="0" fillId="12" borderId="10" xfId="0" applyFill="1" applyBorder="1" applyAlignment="1">
      <alignment vertical="center"/>
    </xf>
    <xf numFmtId="0" fontId="7" fillId="12" borderId="1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23" borderId="12" xfId="0" applyFill="1" applyBorder="1" applyAlignment="1">
      <alignment vertical="center"/>
    </xf>
    <xf numFmtId="0" fontId="7" fillId="18" borderId="12" xfId="0" applyFont="1" applyFill="1" applyBorder="1" applyAlignment="1">
      <alignment horizontal="center" vertical="center"/>
    </xf>
    <xf numFmtId="0" fontId="8" fillId="18" borderId="12" xfId="0" applyFont="1" applyFill="1" applyBorder="1" applyAlignment="1">
      <alignment horizontal="center" vertical="center"/>
    </xf>
    <xf numFmtId="0" fontId="0" fillId="13" borderId="11" xfId="0" applyFont="1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12" xfId="0" applyFont="1" applyFill="1" applyBorder="1" applyAlignment="1">
      <alignment horizontal="center" vertical="center"/>
    </xf>
    <xf numFmtId="0" fontId="0" fillId="16" borderId="12" xfId="0" applyFill="1" applyBorder="1" applyAlignment="1">
      <alignment vertical="center"/>
    </xf>
    <xf numFmtId="0" fontId="7" fillId="16" borderId="12" xfId="0" applyFont="1" applyFill="1" applyBorder="1" applyAlignment="1">
      <alignment horizontal="center" vertical="center"/>
    </xf>
    <xf numFmtId="0" fontId="8" fillId="16" borderId="12" xfId="0" applyFont="1" applyFill="1" applyBorder="1" applyAlignment="1">
      <alignment horizontal="center" vertical="center"/>
    </xf>
    <xf numFmtId="0" fontId="0" fillId="18" borderId="12" xfId="0" applyFill="1" applyBorder="1" applyAlignment="1">
      <alignment vertical="center"/>
    </xf>
    <xf numFmtId="0" fontId="0" fillId="14" borderId="12" xfId="0" applyFont="1" applyFill="1" applyBorder="1" applyAlignment="1">
      <alignment horizontal="center" vertical="center"/>
    </xf>
    <xf numFmtId="0" fontId="0" fillId="14" borderId="0" xfId="0" applyFill="1" applyBorder="1" applyAlignment="1">
      <alignment vertical="center"/>
    </xf>
    <xf numFmtId="0" fontId="0" fillId="16" borderId="10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15" borderId="12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A6B16"/>
      <color rgb="00E7A93E"/>
      <color rgb="00FCF2F2"/>
      <color rgb="001BC7FF"/>
      <color rgb="0055D9FF"/>
      <color rgb="007A88DA"/>
      <color rgb="00DA4A95"/>
      <color rgb="008B3FE7"/>
      <color rgb="009754EA"/>
      <color rgb="00ABEC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8.jpeg"/><Relationship Id="rId98" Type="http://schemas.openxmlformats.org/officeDocument/2006/relationships/image" Target="media/image97.jpeg"/><Relationship Id="rId97" Type="http://schemas.openxmlformats.org/officeDocument/2006/relationships/image" Target="media/image96.jpeg"/><Relationship Id="rId96" Type="http://schemas.openxmlformats.org/officeDocument/2006/relationships/image" Target="media/image95.jpeg"/><Relationship Id="rId95" Type="http://schemas.openxmlformats.org/officeDocument/2006/relationships/image" Target="media/image94.jpeg"/><Relationship Id="rId94" Type="http://schemas.openxmlformats.org/officeDocument/2006/relationships/image" Target="media/image93.jpeg"/><Relationship Id="rId93" Type="http://schemas.openxmlformats.org/officeDocument/2006/relationships/image" Target="media/image92.jpeg"/><Relationship Id="rId92" Type="http://schemas.openxmlformats.org/officeDocument/2006/relationships/image" Target="media/image91.jpeg"/><Relationship Id="rId91" Type="http://schemas.openxmlformats.org/officeDocument/2006/relationships/image" Target="media/image90.jpeg"/><Relationship Id="rId90" Type="http://schemas.openxmlformats.org/officeDocument/2006/relationships/image" Target="media/image89.jpeg"/><Relationship Id="rId9" Type="http://schemas.openxmlformats.org/officeDocument/2006/relationships/image" Target="media/image8.jpeg"/><Relationship Id="rId89" Type="http://schemas.openxmlformats.org/officeDocument/2006/relationships/image" Target="media/image88.jpeg"/><Relationship Id="rId88" Type="http://schemas.openxmlformats.org/officeDocument/2006/relationships/image" Target="media/image87.jpeg"/><Relationship Id="rId87" Type="http://schemas.openxmlformats.org/officeDocument/2006/relationships/image" Target="media/image86.jpeg"/><Relationship Id="rId86" Type="http://schemas.openxmlformats.org/officeDocument/2006/relationships/image" Target="media/image85.jpeg"/><Relationship Id="rId85" Type="http://schemas.openxmlformats.org/officeDocument/2006/relationships/image" Target="media/image84.jpeg"/><Relationship Id="rId84" Type="http://schemas.openxmlformats.org/officeDocument/2006/relationships/image" Target="media/image83.jpeg"/><Relationship Id="rId83" Type="http://schemas.openxmlformats.org/officeDocument/2006/relationships/image" Target="media/image82.jpeg"/><Relationship Id="rId82" Type="http://schemas.openxmlformats.org/officeDocument/2006/relationships/image" Target="media/image81.jpeg"/><Relationship Id="rId81" Type="http://schemas.openxmlformats.org/officeDocument/2006/relationships/image" Target="media/image80.jpeg"/><Relationship Id="rId80" Type="http://schemas.openxmlformats.org/officeDocument/2006/relationships/image" Target="media/image79.jpeg"/><Relationship Id="rId8" Type="http://schemas.openxmlformats.org/officeDocument/2006/relationships/image" Target="media/image7.jpeg"/><Relationship Id="rId79" Type="http://schemas.openxmlformats.org/officeDocument/2006/relationships/image" Target="media/image78.jpeg"/><Relationship Id="rId78" Type="http://schemas.openxmlformats.org/officeDocument/2006/relationships/image" Target="media/image77.jpeg"/><Relationship Id="rId77" Type="http://schemas.openxmlformats.org/officeDocument/2006/relationships/image" Target="media/image76.jpeg"/><Relationship Id="rId76" Type="http://schemas.openxmlformats.org/officeDocument/2006/relationships/image" Target="media/image75.jpeg"/><Relationship Id="rId75" Type="http://schemas.openxmlformats.org/officeDocument/2006/relationships/image" Target="media/image74.jpeg"/><Relationship Id="rId74" Type="http://schemas.openxmlformats.org/officeDocument/2006/relationships/image" Target="media/image73.jpeg"/><Relationship Id="rId73" Type="http://schemas.openxmlformats.org/officeDocument/2006/relationships/image" Target="media/image72.jpeg"/><Relationship Id="rId72" Type="http://schemas.openxmlformats.org/officeDocument/2006/relationships/image" Target="media/image71.jpeg"/><Relationship Id="rId71" Type="http://schemas.openxmlformats.org/officeDocument/2006/relationships/image" Target="media/image70.jpeg"/><Relationship Id="rId70" Type="http://schemas.openxmlformats.org/officeDocument/2006/relationships/image" Target="media/image69.jpeg"/><Relationship Id="rId7" Type="http://schemas.openxmlformats.org/officeDocument/2006/relationships/image" Target="media/image6.jpeg"/><Relationship Id="rId69" Type="http://schemas.openxmlformats.org/officeDocument/2006/relationships/image" Target="media/image68.jpeg"/><Relationship Id="rId68" Type="http://schemas.openxmlformats.org/officeDocument/2006/relationships/image" Target="media/image67.jpeg"/><Relationship Id="rId67" Type="http://schemas.openxmlformats.org/officeDocument/2006/relationships/image" Target="media/image66.jpeg"/><Relationship Id="rId66" Type="http://schemas.openxmlformats.org/officeDocument/2006/relationships/image" Target="media/image65.jpeg"/><Relationship Id="rId65" Type="http://schemas.openxmlformats.org/officeDocument/2006/relationships/image" Target="media/image64.jpeg"/><Relationship Id="rId64" Type="http://schemas.openxmlformats.org/officeDocument/2006/relationships/image" Target="media/image63.jpeg"/><Relationship Id="rId63" Type="http://schemas.openxmlformats.org/officeDocument/2006/relationships/image" Target="media/image62.jpeg"/><Relationship Id="rId62" Type="http://schemas.openxmlformats.org/officeDocument/2006/relationships/image" Target="media/image61.jpeg"/><Relationship Id="rId61" Type="http://schemas.openxmlformats.org/officeDocument/2006/relationships/image" Target="media/image60.jpeg"/><Relationship Id="rId60" Type="http://schemas.openxmlformats.org/officeDocument/2006/relationships/image" Target="media/image59.jpeg"/><Relationship Id="rId6" Type="http://schemas.openxmlformats.org/officeDocument/2006/relationships/image" Target="media/image5.jpeg"/><Relationship Id="rId59" Type="http://schemas.openxmlformats.org/officeDocument/2006/relationships/image" Target="media/image58.jpeg"/><Relationship Id="rId58" Type="http://schemas.openxmlformats.org/officeDocument/2006/relationships/image" Target="media/image57.jpeg"/><Relationship Id="rId57" Type="http://schemas.openxmlformats.org/officeDocument/2006/relationships/image" Target="media/image56.jpeg"/><Relationship Id="rId56" Type="http://schemas.openxmlformats.org/officeDocument/2006/relationships/image" Target="media/image55.jpeg"/><Relationship Id="rId55" Type="http://schemas.openxmlformats.org/officeDocument/2006/relationships/image" Target="media/image54.jpeg"/><Relationship Id="rId54" Type="http://schemas.openxmlformats.org/officeDocument/2006/relationships/image" Target="media/image53.jpeg"/><Relationship Id="rId53" Type="http://schemas.openxmlformats.org/officeDocument/2006/relationships/image" Target="media/image52.jpeg"/><Relationship Id="rId52" Type="http://schemas.openxmlformats.org/officeDocument/2006/relationships/image" Target="media/image51.jpeg"/><Relationship Id="rId51" Type="http://schemas.openxmlformats.org/officeDocument/2006/relationships/image" Target="media/image50.jpeg"/><Relationship Id="rId50" Type="http://schemas.openxmlformats.org/officeDocument/2006/relationships/image" Target="media/image49.jpeg"/><Relationship Id="rId5" Type="http://schemas.openxmlformats.org/officeDocument/2006/relationships/image" Target="media/image4.jpeg"/><Relationship Id="rId49" Type="http://schemas.openxmlformats.org/officeDocument/2006/relationships/image" Target="media/image48.jpeg"/><Relationship Id="rId48" Type="http://schemas.openxmlformats.org/officeDocument/2006/relationships/image" Target="media/image47.jpeg"/><Relationship Id="rId47" Type="http://schemas.openxmlformats.org/officeDocument/2006/relationships/image" Target="media/image46.jpeg"/><Relationship Id="rId46" Type="http://schemas.openxmlformats.org/officeDocument/2006/relationships/image" Target="media/image45.jpeg"/><Relationship Id="rId45" Type="http://schemas.openxmlformats.org/officeDocument/2006/relationships/image" Target="media/image44.jpeg"/><Relationship Id="rId44" Type="http://schemas.openxmlformats.org/officeDocument/2006/relationships/image" Target="media/image43.jpeg"/><Relationship Id="rId43" Type="http://schemas.openxmlformats.org/officeDocument/2006/relationships/image" Target="media/image42.jpeg"/><Relationship Id="rId42" Type="http://schemas.openxmlformats.org/officeDocument/2006/relationships/image" Target="media/image41.jpeg"/><Relationship Id="rId41" Type="http://schemas.openxmlformats.org/officeDocument/2006/relationships/image" Target="media/image40.jpeg"/><Relationship Id="rId40" Type="http://schemas.openxmlformats.org/officeDocument/2006/relationships/image" Target="media/image39.jpeg"/><Relationship Id="rId4" Type="http://schemas.openxmlformats.org/officeDocument/2006/relationships/image" Target="media/image3.jpeg"/><Relationship Id="rId39" Type="http://schemas.openxmlformats.org/officeDocument/2006/relationships/image" Target="media/image38.jpeg"/><Relationship Id="rId38" Type="http://schemas.openxmlformats.org/officeDocument/2006/relationships/image" Target="media/image37.jpeg"/><Relationship Id="rId37" Type="http://schemas.openxmlformats.org/officeDocument/2006/relationships/image" Target="media/image36.jpeg"/><Relationship Id="rId36" Type="http://schemas.openxmlformats.org/officeDocument/2006/relationships/image" Target="media/image35.jpe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jpe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NULL" TargetMode="External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media/image2.jpeg"/><Relationship Id="rId192" Type="http://schemas.openxmlformats.org/officeDocument/2006/relationships/image" Target="media/image191.png"/><Relationship Id="rId191" Type="http://schemas.openxmlformats.org/officeDocument/2006/relationships/image" Target="media/image190.jpeg"/><Relationship Id="rId190" Type="http://schemas.openxmlformats.org/officeDocument/2006/relationships/image" Target="media/image189.jpeg"/><Relationship Id="rId19" Type="http://schemas.openxmlformats.org/officeDocument/2006/relationships/image" Target="media/image18.jpeg"/><Relationship Id="rId189" Type="http://schemas.openxmlformats.org/officeDocument/2006/relationships/image" Target="media/image188.jpeg"/><Relationship Id="rId188" Type="http://schemas.openxmlformats.org/officeDocument/2006/relationships/image" Target="media/image187.jpeg"/><Relationship Id="rId187" Type="http://schemas.openxmlformats.org/officeDocument/2006/relationships/image" Target="media/image186.jpeg"/><Relationship Id="rId186" Type="http://schemas.openxmlformats.org/officeDocument/2006/relationships/image" Target="media/image185.jpeg"/><Relationship Id="rId185" Type="http://schemas.openxmlformats.org/officeDocument/2006/relationships/image" Target="media/image184.jpeg"/><Relationship Id="rId184" Type="http://schemas.openxmlformats.org/officeDocument/2006/relationships/image" Target="media/image183.jpeg"/><Relationship Id="rId183" Type="http://schemas.openxmlformats.org/officeDocument/2006/relationships/image" Target="media/image182.jpeg"/><Relationship Id="rId182" Type="http://schemas.openxmlformats.org/officeDocument/2006/relationships/image" Target="media/image181.jpeg"/><Relationship Id="rId181" Type="http://schemas.openxmlformats.org/officeDocument/2006/relationships/image" Target="media/image180.jpeg"/><Relationship Id="rId180" Type="http://schemas.openxmlformats.org/officeDocument/2006/relationships/image" Target="media/image179.jpeg"/><Relationship Id="rId18" Type="http://schemas.openxmlformats.org/officeDocument/2006/relationships/image" Target="media/image17.jpeg"/><Relationship Id="rId179" Type="http://schemas.openxmlformats.org/officeDocument/2006/relationships/image" Target="media/image178.jpeg"/><Relationship Id="rId178" Type="http://schemas.openxmlformats.org/officeDocument/2006/relationships/image" Target="media/image177.jpeg"/><Relationship Id="rId177" Type="http://schemas.openxmlformats.org/officeDocument/2006/relationships/image" Target="media/image176.jpeg"/><Relationship Id="rId176" Type="http://schemas.openxmlformats.org/officeDocument/2006/relationships/image" Target="media/image175.jpeg"/><Relationship Id="rId175" Type="http://schemas.openxmlformats.org/officeDocument/2006/relationships/image" Target="media/image174.jpeg"/><Relationship Id="rId174" Type="http://schemas.openxmlformats.org/officeDocument/2006/relationships/image" Target="media/image173.jpeg"/><Relationship Id="rId173" Type="http://schemas.openxmlformats.org/officeDocument/2006/relationships/image" Target="media/image172.jpeg"/><Relationship Id="rId172" Type="http://schemas.openxmlformats.org/officeDocument/2006/relationships/image" Target="media/image171.jpeg"/><Relationship Id="rId171" Type="http://schemas.openxmlformats.org/officeDocument/2006/relationships/image" Target="media/image170.jpeg"/><Relationship Id="rId170" Type="http://schemas.openxmlformats.org/officeDocument/2006/relationships/image" Target="media/image169.jpeg"/><Relationship Id="rId17" Type="http://schemas.openxmlformats.org/officeDocument/2006/relationships/image" Target="media/image16.jpeg"/><Relationship Id="rId169" Type="http://schemas.openxmlformats.org/officeDocument/2006/relationships/image" Target="media/image168.jpeg"/><Relationship Id="rId168" Type="http://schemas.openxmlformats.org/officeDocument/2006/relationships/image" Target="media/image167.jpeg"/><Relationship Id="rId167" Type="http://schemas.openxmlformats.org/officeDocument/2006/relationships/image" Target="media/image166.jpeg"/><Relationship Id="rId166" Type="http://schemas.openxmlformats.org/officeDocument/2006/relationships/image" Target="media/image165.jpeg"/><Relationship Id="rId165" Type="http://schemas.openxmlformats.org/officeDocument/2006/relationships/image" Target="media/image164.jpeg"/><Relationship Id="rId164" Type="http://schemas.openxmlformats.org/officeDocument/2006/relationships/image" Target="media/image163.jpeg"/><Relationship Id="rId163" Type="http://schemas.openxmlformats.org/officeDocument/2006/relationships/image" Target="media/image162.jpeg"/><Relationship Id="rId162" Type="http://schemas.openxmlformats.org/officeDocument/2006/relationships/image" Target="media/image161.jpeg"/><Relationship Id="rId161" Type="http://schemas.openxmlformats.org/officeDocument/2006/relationships/image" Target="media/image160.jpeg"/><Relationship Id="rId160" Type="http://schemas.openxmlformats.org/officeDocument/2006/relationships/image" Target="media/image159.jpeg"/><Relationship Id="rId16" Type="http://schemas.openxmlformats.org/officeDocument/2006/relationships/image" Target="media/image15.jpeg"/><Relationship Id="rId159" Type="http://schemas.openxmlformats.org/officeDocument/2006/relationships/image" Target="media/image158.jpeg"/><Relationship Id="rId158" Type="http://schemas.openxmlformats.org/officeDocument/2006/relationships/image" Target="media/image157.jpeg"/><Relationship Id="rId157" Type="http://schemas.openxmlformats.org/officeDocument/2006/relationships/image" Target="media/image156.jpeg"/><Relationship Id="rId156" Type="http://schemas.openxmlformats.org/officeDocument/2006/relationships/image" Target="media/image155.jpeg"/><Relationship Id="rId155" Type="http://schemas.openxmlformats.org/officeDocument/2006/relationships/image" Target="media/image154.jpeg"/><Relationship Id="rId154" Type="http://schemas.openxmlformats.org/officeDocument/2006/relationships/image" Target="media/image153.jpeg"/><Relationship Id="rId153" Type="http://schemas.openxmlformats.org/officeDocument/2006/relationships/image" Target="media/image152.jpeg"/><Relationship Id="rId152" Type="http://schemas.openxmlformats.org/officeDocument/2006/relationships/image" Target="media/image151.jpeg"/><Relationship Id="rId151" Type="http://schemas.openxmlformats.org/officeDocument/2006/relationships/image" Target="media/image150.jpeg"/><Relationship Id="rId150" Type="http://schemas.openxmlformats.org/officeDocument/2006/relationships/image" Target="media/image149.jpeg"/><Relationship Id="rId15" Type="http://schemas.openxmlformats.org/officeDocument/2006/relationships/image" Target="media/image14.jpeg"/><Relationship Id="rId149" Type="http://schemas.openxmlformats.org/officeDocument/2006/relationships/image" Target="media/image148.jpeg"/><Relationship Id="rId148" Type="http://schemas.openxmlformats.org/officeDocument/2006/relationships/image" Target="media/image147.jpeg"/><Relationship Id="rId147" Type="http://schemas.openxmlformats.org/officeDocument/2006/relationships/image" Target="media/image146.jpeg"/><Relationship Id="rId146" Type="http://schemas.openxmlformats.org/officeDocument/2006/relationships/image" Target="media/image145.jpeg"/><Relationship Id="rId145" Type="http://schemas.openxmlformats.org/officeDocument/2006/relationships/image" Target="media/image144.jpeg"/><Relationship Id="rId144" Type="http://schemas.openxmlformats.org/officeDocument/2006/relationships/image" Target="media/image143.png"/><Relationship Id="rId143" Type="http://schemas.openxmlformats.org/officeDocument/2006/relationships/image" Target="media/image142.jpeg"/><Relationship Id="rId142" Type="http://schemas.openxmlformats.org/officeDocument/2006/relationships/image" Target="media/image141.jpeg"/><Relationship Id="rId141" Type="http://schemas.openxmlformats.org/officeDocument/2006/relationships/image" Target="media/image140.jpeg"/><Relationship Id="rId140" Type="http://schemas.openxmlformats.org/officeDocument/2006/relationships/image" Target="media/image139.jpeg"/><Relationship Id="rId14" Type="http://schemas.openxmlformats.org/officeDocument/2006/relationships/image" Target="media/image13.jpeg"/><Relationship Id="rId139" Type="http://schemas.openxmlformats.org/officeDocument/2006/relationships/image" Target="media/image138.jpeg"/><Relationship Id="rId138" Type="http://schemas.openxmlformats.org/officeDocument/2006/relationships/image" Target="media/image137.jpeg"/><Relationship Id="rId137" Type="http://schemas.openxmlformats.org/officeDocument/2006/relationships/image" Target="media/image136.jpeg"/><Relationship Id="rId136" Type="http://schemas.openxmlformats.org/officeDocument/2006/relationships/image" Target="media/image135.jpeg"/><Relationship Id="rId135" Type="http://schemas.openxmlformats.org/officeDocument/2006/relationships/image" Target="media/image134.jpeg"/><Relationship Id="rId134" Type="http://schemas.openxmlformats.org/officeDocument/2006/relationships/image" Target="media/image133.jpeg"/><Relationship Id="rId133" Type="http://schemas.openxmlformats.org/officeDocument/2006/relationships/image" Target="media/image132.jpeg"/><Relationship Id="rId132" Type="http://schemas.openxmlformats.org/officeDocument/2006/relationships/image" Target="media/image131.jpeg"/><Relationship Id="rId131" Type="http://schemas.openxmlformats.org/officeDocument/2006/relationships/image" Target="media/image130.jpeg"/><Relationship Id="rId130" Type="http://schemas.openxmlformats.org/officeDocument/2006/relationships/image" Target="media/image129.jpeg"/><Relationship Id="rId13" Type="http://schemas.openxmlformats.org/officeDocument/2006/relationships/image" Target="media/image12.jpeg"/><Relationship Id="rId129" Type="http://schemas.openxmlformats.org/officeDocument/2006/relationships/image" Target="media/image128.jpeg"/><Relationship Id="rId128" Type="http://schemas.openxmlformats.org/officeDocument/2006/relationships/image" Target="media/image127.jpeg"/><Relationship Id="rId127" Type="http://schemas.openxmlformats.org/officeDocument/2006/relationships/image" Target="media/image126.jpeg"/><Relationship Id="rId126" Type="http://schemas.openxmlformats.org/officeDocument/2006/relationships/image" Target="media/image125.jpeg"/><Relationship Id="rId125" Type="http://schemas.openxmlformats.org/officeDocument/2006/relationships/image" Target="media/image124.jpeg"/><Relationship Id="rId124" Type="http://schemas.openxmlformats.org/officeDocument/2006/relationships/image" Target="media/image123.jpeg"/><Relationship Id="rId123" Type="http://schemas.openxmlformats.org/officeDocument/2006/relationships/image" Target="media/image122.jpeg"/><Relationship Id="rId122" Type="http://schemas.openxmlformats.org/officeDocument/2006/relationships/image" Target="media/image121.jpeg"/><Relationship Id="rId121" Type="http://schemas.openxmlformats.org/officeDocument/2006/relationships/image" Target="media/image120.jpeg"/><Relationship Id="rId120" Type="http://schemas.openxmlformats.org/officeDocument/2006/relationships/image" Target="media/image119.jpeg"/><Relationship Id="rId12" Type="http://schemas.openxmlformats.org/officeDocument/2006/relationships/image" Target="media/image11.jpeg"/><Relationship Id="rId119" Type="http://schemas.openxmlformats.org/officeDocument/2006/relationships/image" Target="media/image118.jpeg"/><Relationship Id="rId118" Type="http://schemas.openxmlformats.org/officeDocument/2006/relationships/image" Target="media/image117.jpeg"/><Relationship Id="rId117" Type="http://schemas.openxmlformats.org/officeDocument/2006/relationships/image" Target="media/image116.jpeg"/><Relationship Id="rId116" Type="http://schemas.openxmlformats.org/officeDocument/2006/relationships/image" Target="media/image115.jpeg"/><Relationship Id="rId115" Type="http://schemas.openxmlformats.org/officeDocument/2006/relationships/image" Target="media/image114.jpeg"/><Relationship Id="rId114" Type="http://schemas.openxmlformats.org/officeDocument/2006/relationships/image" Target="media/image113.jpeg"/><Relationship Id="rId113" Type="http://schemas.openxmlformats.org/officeDocument/2006/relationships/image" Target="media/image112.jpeg"/><Relationship Id="rId112" Type="http://schemas.openxmlformats.org/officeDocument/2006/relationships/image" Target="media/image111.jpeg"/><Relationship Id="rId111" Type="http://schemas.openxmlformats.org/officeDocument/2006/relationships/image" Target="media/image110.jpeg"/><Relationship Id="rId110" Type="http://schemas.openxmlformats.org/officeDocument/2006/relationships/image" Target="media/image109.jpeg"/><Relationship Id="rId11" Type="http://schemas.openxmlformats.org/officeDocument/2006/relationships/image" Target="media/image10.jpeg"/><Relationship Id="rId109" Type="http://schemas.openxmlformats.org/officeDocument/2006/relationships/image" Target="media/image108.jpeg"/><Relationship Id="rId108" Type="http://schemas.openxmlformats.org/officeDocument/2006/relationships/image" Target="media/image107.jpeg"/><Relationship Id="rId107" Type="http://schemas.openxmlformats.org/officeDocument/2006/relationships/image" Target="media/image106.jpeg"/><Relationship Id="rId106" Type="http://schemas.openxmlformats.org/officeDocument/2006/relationships/image" Target="media/image105.jpeg"/><Relationship Id="rId105" Type="http://schemas.openxmlformats.org/officeDocument/2006/relationships/image" Target="media/image104.jpeg"/><Relationship Id="rId104" Type="http://schemas.openxmlformats.org/officeDocument/2006/relationships/image" Target="media/image103.jpeg"/><Relationship Id="rId103" Type="http://schemas.openxmlformats.org/officeDocument/2006/relationships/image" Target="media/image102.jpeg"/><Relationship Id="rId102" Type="http://schemas.openxmlformats.org/officeDocument/2006/relationships/image" Target="media/image101.jpeg"/><Relationship Id="rId101" Type="http://schemas.openxmlformats.org/officeDocument/2006/relationships/image" Target="media/image100.jpeg"/><Relationship Id="rId100" Type="http://schemas.openxmlformats.org/officeDocument/2006/relationships/image" Target="media/image99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3"/>
  <sheetViews>
    <sheetView tabSelected="1" zoomScale="85" zoomScaleNormal="85" workbookViewId="0">
      <selection activeCell="A178" sqref="A178"/>
    </sheetView>
  </sheetViews>
  <sheetFormatPr defaultColWidth="9" defaultRowHeight="14.4"/>
  <cols>
    <col min="3" max="3" width="15.0277777777778" customWidth="1"/>
    <col min="4" max="4" width="24.3148148148148" customWidth="1"/>
    <col min="5" max="5" width="9.22222222222222"/>
    <col min="11" max="11" width="9" customWidth="1"/>
    <col min="12" max="13" width="12.8055555555556" customWidth="1"/>
    <col min="14" max="17" width="19.6018518518519" customWidth="1"/>
  </cols>
  <sheetData>
    <row r="1" ht="15.15" spans="1:19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"/>
      <c r="S1" s="2"/>
    </row>
    <row r="2" ht="87.7" customHeight="1" spans="1:19">
      <c r="A2" s="16">
        <v>70</v>
      </c>
      <c r="B2" s="17" t="s">
        <v>17</v>
      </c>
      <c r="C2" s="18" t="str">
        <f>_xlfn.DISPIMG("ID_D89EEA9B95D74A7CB4C2AFA29315AA25",1)</f>
        <v>=DISPIMG("ID_D89EEA9B95D74A7CB4C2AFA29315AA25",1)</v>
      </c>
      <c r="D2" s="320" t="s">
        <v>18</v>
      </c>
      <c r="E2" s="28">
        <v>118</v>
      </c>
      <c r="F2" s="38">
        <v>85</v>
      </c>
      <c r="G2" s="38" t="s">
        <v>19</v>
      </c>
      <c r="H2" s="38">
        <v>87</v>
      </c>
      <c r="I2" s="38">
        <v>114</v>
      </c>
      <c r="J2" s="22">
        <v>101</v>
      </c>
      <c r="K2" s="22" t="s">
        <v>20</v>
      </c>
      <c r="L2" s="23">
        <v>360</v>
      </c>
      <c r="M2" s="23">
        <v>360</v>
      </c>
      <c r="N2" s="24"/>
      <c r="O2" s="24" t="s">
        <v>21</v>
      </c>
      <c r="P2" s="24" t="s">
        <v>21</v>
      </c>
      <c r="Q2" s="24"/>
      <c r="R2" s="2"/>
      <c r="S2" s="2"/>
    </row>
    <row r="3" ht="87.7" customHeight="1" spans="1:19">
      <c r="A3" s="16">
        <v>70</v>
      </c>
      <c r="B3" s="17" t="s">
        <v>17</v>
      </c>
      <c r="C3" s="18" t="str">
        <f>_xlfn.DISPIMG("ID_D89EEA9B95D74A7CB4C2AFA29315AA25",1)</f>
        <v>=DISPIMG("ID_D89EEA9B95D74A7CB4C2AFA29315AA25",1)</v>
      </c>
      <c r="D3" s="17" t="s">
        <v>22</v>
      </c>
      <c r="E3" s="19" t="s">
        <v>23</v>
      </c>
      <c r="F3" s="21" t="s">
        <v>24</v>
      </c>
      <c r="G3" s="21" t="s">
        <v>25</v>
      </c>
      <c r="H3" s="21" t="s">
        <v>23</v>
      </c>
      <c r="I3" s="21" t="s">
        <v>23</v>
      </c>
      <c r="J3" s="21" t="s">
        <v>26</v>
      </c>
      <c r="K3" s="22" t="s">
        <v>27</v>
      </c>
      <c r="L3" s="23">
        <v>360</v>
      </c>
      <c r="M3" s="23">
        <v>266</v>
      </c>
      <c r="N3" s="24"/>
      <c r="O3" s="24" t="s">
        <v>21</v>
      </c>
      <c r="P3" s="24" t="s">
        <v>21</v>
      </c>
      <c r="Q3" s="24"/>
      <c r="R3" s="2"/>
      <c r="S3" s="2"/>
    </row>
    <row r="4" ht="87.7" customHeight="1" spans="1:19">
      <c r="A4" s="55">
        <v>309</v>
      </c>
      <c r="B4" s="55" t="s">
        <v>28</v>
      </c>
      <c r="C4" s="56" t="str">
        <f>_xlfn.DISPIMG("ID_234C77166547483A9A1203CA266629D5",1)</f>
        <v>=DISPIMG("ID_234C77166547483A9A1203CA266629D5",1)</v>
      </c>
      <c r="D4" s="55" t="s">
        <v>29</v>
      </c>
      <c r="E4" s="28">
        <v>112</v>
      </c>
      <c r="F4" s="22">
        <v>80</v>
      </c>
      <c r="G4" s="22">
        <v>112</v>
      </c>
      <c r="H4" s="22">
        <v>80</v>
      </c>
      <c r="I4" s="22">
        <v>114</v>
      </c>
      <c r="J4" s="22">
        <v>120</v>
      </c>
      <c r="K4" s="22">
        <v>618</v>
      </c>
      <c r="L4" s="57">
        <v>360</v>
      </c>
      <c r="M4" s="57">
        <v>264</v>
      </c>
      <c r="N4" s="59"/>
      <c r="O4" s="59" t="s">
        <v>21</v>
      </c>
      <c r="P4" s="59"/>
      <c r="Q4" s="59"/>
      <c r="R4" s="2"/>
      <c r="S4" s="2"/>
    </row>
    <row r="5" ht="87.7" customHeight="1" spans="1:19">
      <c r="A5" s="25">
        <v>300</v>
      </c>
      <c r="B5" s="25" t="s">
        <v>30</v>
      </c>
      <c r="C5" s="26" t="str">
        <f>_xlfn.DISPIMG("ID_7B3E0F3389A24B90B0F55B3F4DECEC4A",1)</f>
        <v>=DISPIMG("ID_7B3E0F3389A24B90B0F55B3F4DECEC4A",1)</v>
      </c>
      <c r="D5" s="27" t="s">
        <v>31</v>
      </c>
      <c r="E5" s="28">
        <v>110</v>
      </c>
      <c r="F5" s="22">
        <v>100</v>
      </c>
      <c r="G5" s="38">
        <v>120</v>
      </c>
      <c r="H5" s="38">
        <v>100</v>
      </c>
      <c r="I5" s="38">
        <v>110</v>
      </c>
      <c r="J5" s="22">
        <v>120</v>
      </c>
      <c r="K5" s="22">
        <v>660</v>
      </c>
      <c r="L5" s="29">
        <v>351</v>
      </c>
      <c r="M5" s="29">
        <v>256</v>
      </c>
      <c r="N5" s="30"/>
      <c r="O5" s="30"/>
      <c r="P5" s="30"/>
      <c r="Q5" s="30"/>
      <c r="R5" s="2"/>
      <c r="S5" s="2"/>
    </row>
    <row r="6" ht="87.7" customHeight="1" spans="1:19">
      <c r="A6" s="321">
        <v>504</v>
      </c>
      <c r="B6" s="321" t="s">
        <v>32</v>
      </c>
      <c r="C6" s="322" t="str">
        <f>_xlfn.DISPIMG("ID_76B81B3526CA49C9AD69FB86DFD23DD7",1)</f>
        <v>=DISPIMG("ID_76B81B3526CA49C9AD69FB86DFD23DD7",1)</v>
      </c>
      <c r="D6" s="323" t="s">
        <v>33</v>
      </c>
      <c r="E6" s="28">
        <v>95</v>
      </c>
      <c r="F6" s="38">
        <v>100</v>
      </c>
      <c r="G6" s="38">
        <v>115</v>
      </c>
      <c r="H6" s="38">
        <v>100</v>
      </c>
      <c r="I6" s="38">
        <v>110</v>
      </c>
      <c r="J6" s="22">
        <v>130</v>
      </c>
      <c r="K6" s="22">
        <v>650</v>
      </c>
      <c r="L6" s="324">
        <v>351</v>
      </c>
      <c r="M6" s="324">
        <v>256</v>
      </c>
      <c r="N6" s="325"/>
      <c r="O6" s="325"/>
      <c r="P6" s="325" t="s">
        <v>21</v>
      </c>
      <c r="Q6" s="325"/>
      <c r="R6" s="2"/>
      <c r="S6" s="2"/>
    </row>
    <row r="7" ht="87.7" customHeight="1" spans="1:19">
      <c r="A7" s="173">
        <v>321</v>
      </c>
      <c r="B7" s="173" t="s">
        <v>34</v>
      </c>
      <c r="C7" s="174" t="str">
        <f>_xlfn.DISPIMG("ID_36A917E2A2914D08A785BD60F2DDE2BC",1)</f>
        <v>=DISPIMG("ID_36A917E2A2914D08A785BD60F2DDE2BC",1)</v>
      </c>
      <c r="D7" s="173" t="s">
        <v>35</v>
      </c>
      <c r="E7" s="28">
        <v>100</v>
      </c>
      <c r="F7" s="38">
        <v>83</v>
      </c>
      <c r="G7" s="38">
        <v>105</v>
      </c>
      <c r="H7" s="38">
        <v>72</v>
      </c>
      <c r="I7" s="38">
        <v>108</v>
      </c>
      <c r="J7" s="22">
        <v>100</v>
      </c>
      <c r="K7" s="22">
        <v>568</v>
      </c>
      <c r="L7" s="175">
        <v>347</v>
      </c>
      <c r="M7" s="175">
        <v>252</v>
      </c>
      <c r="N7" s="176"/>
      <c r="O7" s="176" t="s">
        <v>21</v>
      </c>
      <c r="P7" s="176" t="s">
        <v>21</v>
      </c>
      <c r="Q7" s="176"/>
      <c r="R7" s="2"/>
      <c r="S7" s="2"/>
    </row>
    <row r="8" ht="87.7" customHeight="1" spans="1:19">
      <c r="A8" s="151">
        <v>468</v>
      </c>
      <c r="B8" s="151" t="s">
        <v>36</v>
      </c>
      <c r="C8" s="152" t="str">
        <f>_xlfn.DISPIMG("ID_1AFEC3AEF72A4A2E9576EA1A96BF717B",1)</f>
        <v>=DISPIMG("ID_1AFEC3AEF72A4A2E9576EA1A96BF717B",1)</v>
      </c>
      <c r="D8" s="151" t="s">
        <v>37</v>
      </c>
      <c r="E8" s="28">
        <v>91</v>
      </c>
      <c r="F8" s="38">
        <v>79</v>
      </c>
      <c r="G8" s="38">
        <v>114</v>
      </c>
      <c r="H8" s="38">
        <v>82</v>
      </c>
      <c r="I8" s="38">
        <v>108</v>
      </c>
      <c r="J8" s="22">
        <v>102</v>
      </c>
      <c r="K8" s="22">
        <v>576</v>
      </c>
      <c r="L8" s="153">
        <v>347</v>
      </c>
      <c r="M8" s="326">
        <v>252</v>
      </c>
      <c r="N8" s="154" t="s">
        <v>21</v>
      </c>
      <c r="O8" s="154"/>
      <c r="P8" s="154"/>
      <c r="Q8" s="154"/>
      <c r="R8" s="2"/>
      <c r="S8" s="2"/>
    </row>
    <row r="9" ht="87.7" customHeight="1" spans="1:19">
      <c r="A9" s="64">
        <v>498</v>
      </c>
      <c r="B9" s="64" t="s">
        <v>38</v>
      </c>
      <c r="C9" s="65" t="str">
        <f>_xlfn.DISPIMG("ID_31730D3040C544D8B96BCCAE5C976101",1)</f>
        <v>=DISPIMG("ID_31730D3040C544D8B96BCCAE5C976101",1)</v>
      </c>
      <c r="D9" s="190" t="s">
        <v>39</v>
      </c>
      <c r="E9" s="28">
        <v>60</v>
      </c>
      <c r="F9" s="38">
        <v>75</v>
      </c>
      <c r="G9" s="38">
        <v>120</v>
      </c>
      <c r="H9" s="38">
        <v>95</v>
      </c>
      <c r="I9" s="38">
        <v>108</v>
      </c>
      <c r="J9" s="22">
        <v>112</v>
      </c>
      <c r="K9" s="22">
        <v>570</v>
      </c>
      <c r="L9" s="66">
        <v>347</v>
      </c>
      <c r="M9" s="66">
        <v>252</v>
      </c>
      <c r="N9" s="67"/>
      <c r="O9" s="67" t="s">
        <v>21</v>
      </c>
      <c r="P9" s="67"/>
      <c r="Q9" s="67"/>
      <c r="R9" s="2"/>
      <c r="S9" s="2"/>
    </row>
    <row r="10" ht="84" customHeight="1" spans="1:19">
      <c r="A10" s="173">
        <v>155</v>
      </c>
      <c r="B10" s="173" t="s">
        <v>34</v>
      </c>
      <c r="C10" s="174" t="str">
        <f>_xlfn.DISPIMG("ID_A1A55BDEDD33485CBF50A90505AFDC3D",1)</f>
        <v>=DISPIMG("ID_A1A55BDEDD33485CBF50A90505AFDC3D",1)</v>
      </c>
      <c r="D10" s="173" t="s">
        <v>40</v>
      </c>
      <c r="E10" s="28">
        <v>85</v>
      </c>
      <c r="F10" s="38">
        <v>73</v>
      </c>
      <c r="G10" s="38">
        <v>98</v>
      </c>
      <c r="H10" s="38">
        <v>85</v>
      </c>
      <c r="I10" s="38">
        <v>107</v>
      </c>
      <c r="J10" s="22">
        <v>74</v>
      </c>
      <c r="K10" s="22">
        <v>522</v>
      </c>
      <c r="L10" s="175">
        <v>345</v>
      </c>
      <c r="M10" s="202">
        <v>250</v>
      </c>
      <c r="N10" s="176"/>
      <c r="O10" s="176" t="s">
        <v>21</v>
      </c>
      <c r="P10" s="176" t="s">
        <v>21</v>
      </c>
      <c r="Q10" s="176"/>
      <c r="R10" s="2"/>
      <c r="S10" s="2"/>
    </row>
    <row r="11" ht="87.7" customHeight="1" spans="1:19">
      <c r="A11" s="123">
        <v>283</v>
      </c>
      <c r="B11" s="123" t="s">
        <v>41</v>
      </c>
      <c r="C11" s="124" t="str">
        <f>_xlfn.DISPIMG("ID_32438FA34629475481B7FECB98BB7174",1)</f>
        <v>=DISPIMG("ID_32438FA34629475481B7FECB98BB7174",1)</v>
      </c>
      <c r="D11" s="123" t="s">
        <v>42</v>
      </c>
      <c r="E11" s="28">
        <v>101</v>
      </c>
      <c r="F11" s="38">
        <v>77</v>
      </c>
      <c r="G11" s="38">
        <v>101</v>
      </c>
      <c r="H11" s="38">
        <v>85</v>
      </c>
      <c r="I11" s="38">
        <v>106</v>
      </c>
      <c r="J11" s="22">
        <v>106</v>
      </c>
      <c r="K11" s="22">
        <v>576</v>
      </c>
      <c r="L11" s="125">
        <v>342</v>
      </c>
      <c r="M11" s="125">
        <v>248</v>
      </c>
      <c r="N11" s="126"/>
      <c r="O11" s="126" t="s">
        <v>21</v>
      </c>
      <c r="P11" s="126"/>
      <c r="Q11" s="126"/>
      <c r="R11" s="2"/>
      <c r="S11" s="2"/>
    </row>
    <row r="12" ht="87.7" customHeight="1" spans="1:19">
      <c r="A12" s="131">
        <v>487</v>
      </c>
      <c r="B12" s="131" t="s">
        <v>43</v>
      </c>
      <c r="C12" s="132" t="str">
        <f>_xlfn.DISPIMG("ID_FE9A83DCF5DF4B04B685F76B2ADDFB94",1)</f>
        <v>=DISPIMG("ID_FE9A83DCF5DF4B04B685F76B2ADDFB94",1)</v>
      </c>
      <c r="D12" s="133" t="s">
        <v>44</v>
      </c>
      <c r="E12" s="28">
        <v>105</v>
      </c>
      <c r="F12" s="38">
        <v>80</v>
      </c>
      <c r="G12" s="38">
        <v>110</v>
      </c>
      <c r="H12" s="38">
        <v>78</v>
      </c>
      <c r="I12" s="38">
        <v>106</v>
      </c>
      <c r="J12" s="38">
        <v>101</v>
      </c>
      <c r="K12" s="22">
        <v>580</v>
      </c>
      <c r="L12" s="134">
        <v>342</v>
      </c>
      <c r="M12" s="134">
        <v>248</v>
      </c>
      <c r="N12" s="135" t="s">
        <v>21</v>
      </c>
      <c r="O12" s="135"/>
      <c r="P12" s="135"/>
      <c r="Q12" s="135"/>
      <c r="R12" s="2"/>
      <c r="S12" s="2"/>
    </row>
    <row r="13" ht="87.7" customHeight="1" spans="1:19">
      <c r="A13" s="72">
        <v>496</v>
      </c>
      <c r="B13" s="72" t="s">
        <v>45</v>
      </c>
      <c r="C13" s="73" t="str">
        <f>_xlfn.DISPIMG("ID_7E276FCFBAAC4DD4897F03FDEA2FD7C4",1)</f>
        <v>=DISPIMG("ID_7E276FCFBAAC4DD4897F03FDEA2FD7C4",1)</v>
      </c>
      <c r="D13" s="155" t="s">
        <v>46</v>
      </c>
      <c r="E13" s="28">
        <v>110</v>
      </c>
      <c r="F13" s="38">
        <v>84</v>
      </c>
      <c r="G13" s="38">
        <v>80</v>
      </c>
      <c r="H13" s="38">
        <v>81</v>
      </c>
      <c r="I13" s="38">
        <v>106</v>
      </c>
      <c r="J13" s="38">
        <v>114</v>
      </c>
      <c r="K13" s="22">
        <v>575</v>
      </c>
      <c r="L13" s="74">
        <v>342</v>
      </c>
      <c r="M13" s="74">
        <v>248</v>
      </c>
      <c r="N13" s="75" t="s">
        <v>21</v>
      </c>
      <c r="O13" s="75"/>
      <c r="P13" s="75" t="s">
        <v>21</v>
      </c>
      <c r="Q13" s="75"/>
      <c r="R13" s="2"/>
      <c r="S13" s="2"/>
    </row>
    <row r="14" ht="87.7" customHeight="1" spans="1:19">
      <c r="A14" s="173">
        <v>69</v>
      </c>
      <c r="B14" s="301" t="s">
        <v>34</v>
      </c>
      <c r="C14" s="174" t="str">
        <f>_xlfn.DISPIMG("ID_4CD6937D7868401F859E9F5FB8977C56",1)</f>
        <v>=DISPIMG("ID_4CD6937D7868401F859E9F5FB8977C56",1)</v>
      </c>
      <c r="D14" s="173" t="s">
        <v>47</v>
      </c>
      <c r="E14" s="28">
        <v>90</v>
      </c>
      <c r="F14" s="38">
        <v>75</v>
      </c>
      <c r="G14" s="38">
        <v>100</v>
      </c>
      <c r="H14" s="38">
        <v>78</v>
      </c>
      <c r="I14" s="38">
        <v>105</v>
      </c>
      <c r="J14" s="38">
        <v>80</v>
      </c>
      <c r="K14" s="22">
        <v>528</v>
      </c>
      <c r="L14" s="175">
        <v>340</v>
      </c>
      <c r="M14" s="175">
        <v>246</v>
      </c>
      <c r="N14" s="176"/>
      <c r="O14" s="176" t="s">
        <v>21</v>
      </c>
      <c r="P14" s="176"/>
      <c r="Q14" s="176"/>
      <c r="R14" s="2"/>
      <c r="S14" s="2"/>
    </row>
    <row r="15" ht="87.7" customHeight="1" spans="1:19">
      <c r="A15" s="16">
        <v>70</v>
      </c>
      <c r="B15" s="17" t="s">
        <v>17</v>
      </c>
      <c r="C15" s="18" t="str">
        <f>_xlfn.DISPIMG("ID_5A419892C8944A62A710CBA028673969",1)</f>
        <v>=DISPIMG("ID_5A419892C8944A62A710CBA028673969",1)</v>
      </c>
      <c r="D15" s="17" t="s">
        <v>48</v>
      </c>
      <c r="E15" s="28">
        <v>108</v>
      </c>
      <c r="F15" s="38">
        <v>70</v>
      </c>
      <c r="G15" s="38">
        <v>101</v>
      </c>
      <c r="H15" s="38">
        <v>77</v>
      </c>
      <c r="I15" s="38">
        <v>105</v>
      </c>
      <c r="J15" s="38">
        <v>71</v>
      </c>
      <c r="K15" s="22">
        <v>532</v>
      </c>
      <c r="L15" s="23">
        <v>340</v>
      </c>
      <c r="M15" s="23">
        <v>246</v>
      </c>
      <c r="N15" s="24"/>
      <c r="O15" s="24"/>
      <c r="P15" s="24" t="s">
        <v>21</v>
      </c>
      <c r="Q15" s="24"/>
      <c r="R15" s="2"/>
      <c r="S15" s="2"/>
    </row>
    <row r="16" ht="87.7" customHeight="1" spans="1:19">
      <c r="A16" s="173">
        <v>166</v>
      </c>
      <c r="B16" s="173" t="s">
        <v>34</v>
      </c>
      <c r="C16" s="174" t="str">
        <f>_xlfn.DISPIMG("ID_56DCEFDFD4AD44269B060B610A7C093E",1)</f>
        <v>=DISPIMG("ID_56DCEFDFD4AD44269B060B610A7C093E",1)</v>
      </c>
      <c r="D16" s="173" t="s">
        <v>49</v>
      </c>
      <c r="E16" s="28">
        <v>120</v>
      </c>
      <c r="F16" s="38">
        <v>75</v>
      </c>
      <c r="G16" s="38">
        <v>50</v>
      </c>
      <c r="H16" s="38">
        <v>70</v>
      </c>
      <c r="I16" s="38">
        <v>105</v>
      </c>
      <c r="J16" s="38">
        <v>90</v>
      </c>
      <c r="K16" s="22">
        <v>510</v>
      </c>
      <c r="L16" s="175">
        <v>340</v>
      </c>
      <c r="M16" s="175">
        <v>246</v>
      </c>
      <c r="N16" s="176"/>
      <c r="O16" s="176" t="s">
        <v>21</v>
      </c>
      <c r="P16" s="176" t="s">
        <v>21</v>
      </c>
      <c r="Q16" s="176"/>
      <c r="R16" s="2"/>
      <c r="S16" s="2"/>
    </row>
    <row r="17" ht="87.7" customHeight="1" spans="1:19">
      <c r="A17" s="327">
        <v>220</v>
      </c>
      <c r="B17" s="327" t="s">
        <v>41</v>
      </c>
      <c r="C17" s="328" t="str">
        <f>_xlfn.DISPIMG("ID_5F76154FBFC34BC6BD62CFF73FE780A0",1)</f>
        <v>=DISPIMG("ID_5F76154FBFC34BC6BD62CFF73FE780A0",1)</v>
      </c>
      <c r="D17" s="327" t="s">
        <v>50</v>
      </c>
      <c r="E17" s="28">
        <v>90</v>
      </c>
      <c r="F17" s="38">
        <v>73</v>
      </c>
      <c r="G17" s="38">
        <v>120</v>
      </c>
      <c r="H17" s="38">
        <v>81</v>
      </c>
      <c r="I17" s="38">
        <v>105</v>
      </c>
      <c r="J17" s="38">
        <v>101</v>
      </c>
      <c r="K17" s="22">
        <v>570</v>
      </c>
      <c r="L17" s="329">
        <v>340</v>
      </c>
      <c r="M17" s="329">
        <v>246</v>
      </c>
      <c r="N17" s="330"/>
      <c r="O17" s="330"/>
      <c r="P17" s="330" t="s">
        <v>21</v>
      </c>
      <c r="Q17" s="330"/>
      <c r="R17" s="2"/>
      <c r="S17" s="2"/>
    </row>
    <row r="18" ht="87.7" customHeight="1" spans="1:19">
      <c r="A18" s="123">
        <v>239</v>
      </c>
      <c r="B18" s="123" t="s">
        <v>41</v>
      </c>
      <c r="C18" s="124" t="str">
        <f>_xlfn.DISPIMG("ID_14414EF5876A443DA7F120BD17D8AAAC",1)</f>
        <v>=DISPIMG("ID_14414EF5876A443DA7F120BD17D8AAAC",1)</v>
      </c>
      <c r="D18" s="123" t="s">
        <v>51</v>
      </c>
      <c r="E18" s="28">
        <v>79</v>
      </c>
      <c r="F18" s="38">
        <v>77</v>
      </c>
      <c r="G18" s="38">
        <v>107</v>
      </c>
      <c r="H18" s="38">
        <v>97</v>
      </c>
      <c r="I18" s="38">
        <v>105</v>
      </c>
      <c r="J18" s="38">
        <v>103</v>
      </c>
      <c r="K18" s="22">
        <v>568</v>
      </c>
      <c r="L18" s="125">
        <v>340</v>
      </c>
      <c r="M18" s="125">
        <v>246</v>
      </c>
      <c r="N18" s="126"/>
      <c r="O18" s="126"/>
      <c r="P18" s="126"/>
      <c r="Q18" s="126"/>
      <c r="R18" s="2"/>
      <c r="S18" s="2"/>
    </row>
    <row r="19" ht="87.7" customHeight="1" spans="1:19">
      <c r="A19" s="80">
        <v>261</v>
      </c>
      <c r="B19" s="80" t="s">
        <v>52</v>
      </c>
      <c r="C19" s="81" t="str">
        <f>_xlfn.DISPIMG("ID_B12E446245A646DB90A0E84436710CE8",1)</f>
        <v>=DISPIMG("ID_B12E446245A646DB90A0E84436710CE8",1)</v>
      </c>
      <c r="D19" s="82" t="s">
        <v>53</v>
      </c>
      <c r="E19" s="28">
        <v>119</v>
      </c>
      <c r="F19" s="38">
        <v>87</v>
      </c>
      <c r="G19" s="38">
        <v>96</v>
      </c>
      <c r="H19" s="38">
        <v>78</v>
      </c>
      <c r="I19" s="38">
        <v>105</v>
      </c>
      <c r="J19" s="38">
        <v>105</v>
      </c>
      <c r="K19" s="22">
        <v>590</v>
      </c>
      <c r="L19" s="83">
        <v>340</v>
      </c>
      <c r="M19" s="83">
        <v>246</v>
      </c>
      <c r="N19" s="84"/>
      <c r="O19" s="84"/>
      <c r="P19" s="84"/>
      <c r="Q19" s="84"/>
      <c r="R19" s="2"/>
      <c r="S19" s="2"/>
    </row>
    <row r="20" ht="87.7" customHeight="1" spans="1:19">
      <c r="A20" s="55">
        <v>368</v>
      </c>
      <c r="B20" s="55" t="s">
        <v>28</v>
      </c>
      <c r="C20" s="56" t="str">
        <f>_xlfn.DISPIMG("ID_B9671C053FC049E39B13D789265DCE8A",1)</f>
        <v>=DISPIMG("ID_B9671C053FC049E39B13D789265DCE8A",1)</v>
      </c>
      <c r="D20" s="55" t="s">
        <v>54</v>
      </c>
      <c r="E20" s="28">
        <v>88</v>
      </c>
      <c r="F20" s="38">
        <v>75</v>
      </c>
      <c r="G20" s="38">
        <v>115</v>
      </c>
      <c r="H20" s="38">
        <v>75</v>
      </c>
      <c r="I20" s="38">
        <v>105</v>
      </c>
      <c r="J20" s="38">
        <v>102</v>
      </c>
      <c r="K20" s="22">
        <v>560</v>
      </c>
      <c r="L20" s="57">
        <v>340</v>
      </c>
      <c r="M20" s="57">
        <v>246</v>
      </c>
      <c r="N20" s="59" t="s">
        <v>21</v>
      </c>
      <c r="O20" s="59" t="s">
        <v>21</v>
      </c>
      <c r="P20" s="59"/>
      <c r="Q20" s="59"/>
      <c r="R20" s="2"/>
      <c r="S20" s="2"/>
    </row>
    <row r="21" ht="87.7" customHeight="1" spans="1:19">
      <c r="A21" s="127">
        <v>380</v>
      </c>
      <c r="B21" s="127" t="s">
        <v>55</v>
      </c>
      <c r="C21" s="128" t="str">
        <f>_xlfn.DISPIMG("ID_5FC6D48ECD00495499C6072ADD092FAF",1)</f>
        <v>=DISPIMG("ID_5FC6D48ECD00495499C6072ADD092FAF",1)</v>
      </c>
      <c r="D21" s="127" t="s">
        <v>56</v>
      </c>
      <c r="E21" s="28">
        <v>85</v>
      </c>
      <c r="F21" s="38">
        <v>80</v>
      </c>
      <c r="G21" s="38">
        <v>108</v>
      </c>
      <c r="H21" s="38">
        <v>90</v>
      </c>
      <c r="I21" s="38">
        <v>105</v>
      </c>
      <c r="J21" s="38">
        <v>105</v>
      </c>
      <c r="K21" s="22">
        <v>573</v>
      </c>
      <c r="L21" s="129">
        <v>340</v>
      </c>
      <c r="M21" s="129">
        <v>246</v>
      </c>
      <c r="N21" s="130"/>
      <c r="O21" s="130"/>
      <c r="P21" s="130" t="s">
        <v>21</v>
      </c>
      <c r="Q21" s="130"/>
      <c r="R21" s="2"/>
      <c r="S21" s="2"/>
    </row>
    <row r="22" ht="87.7" customHeight="1" spans="1:19">
      <c r="A22" s="85">
        <v>415</v>
      </c>
      <c r="B22" s="85" t="s">
        <v>57</v>
      </c>
      <c r="C22" s="86" t="str">
        <f>_xlfn.DISPIMG("ID_D356BB6EAED04FEA9511D7AEB57AE473",1)</f>
        <v>=DISPIMG("ID_D356BB6EAED04FEA9511D7AEB57AE473",1)</v>
      </c>
      <c r="D22" s="85" t="s">
        <v>58</v>
      </c>
      <c r="E22" s="28">
        <v>75</v>
      </c>
      <c r="F22" s="38">
        <v>75</v>
      </c>
      <c r="G22" s="38">
        <v>110</v>
      </c>
      <c r="H22" s="38">
        <v>95</v>
      </c>
      <c r="I22" s="38">
        <v>105</v>
      </c>
      <c r="J22" s="38">
        <v>102</v>
      </c>
      <c r="K22" s="22">
        <v>562</v>
      </c>
      <c r="L22" s="53">
        <v>340</v>
      </c>
      <c r="M22" s="53">
        <v>246</v>
      </c>
      <c r="N22" s="87"/>
      <c r="O22" s="87" t="s">
        <v>21</v>
      </c>
      <c r="P22" s="87" t="s">
        <v>21</v>
      </c>
      <c r="Q22" s="87"/>
      <c r="R22" s="2"/>
      <c r="S22" s="2"/>
    </row>
    <row r="23" ht="87.7" customHeight="1" spans="1:19">
      <c r="A23" s="331">
        <v>426</v>
      </c>
      <c r="B23" s="331" t="s">
        <v>59</v>
      </c>
      <c r="C23" s="332" t="str">
        <f>_xlfn.DISPIMG("ID_CA12AF7EFFC740E991ED16393545A035",1)</f>
        <v>=DISPIMG("ID_CA12AF7EFFC740E991ED16393545A035",1)</v>
      </c>
      <c r="D23" s="333" t="s">
        <v>60</v>
      </c>
      <c r="E23" s="28">
        <v>72</v>
      </c>
      <c r="F23" s="38">
        <v>84</v>
      </c>
      <c r="G23" s="38">
        <v>106</v>
      </c>
      <c r="H23" s="38">
        <v>88</v>
      </c>
      <c r="I23" s="38">
        <v>105</v>
      </c>
      <c r="J23" s="38">
        <v>105</v>
      </c>
      <c r="K23" s="22">
        <v>560</v>
      </c>
      <c r="L23" s="334">
        <v>340</v>
      </c>
      <c r="M23" s="334">
        <v>246</v>
      </c>
      <c r="N23" s="335" t="s">
        <v>21</v>
      </c>
      <c r="O23" s="335"/>
      <c r="P23" s="335"/>
      <c r="Q23" s="335"/>
      <c r="R23" s="2"/>
      <c r="S23" s="2"/>
    </row>
    <row r="24" ht="87.7" customHeight="1" spans="1:19">
      <c r="A24" s="336">
        <v>429</v>
      </c>
      <c r="B24" s="336" t="s">
        <v>61</v>
      </c>
      <c r="C24" s="337" t="str">
        <f>_xlfn.DISPIMG("ID_F95289D8FB594CFBA48876BE3397C58D",1)</f>
        <v>=DISPIMG("ID_F95289D8FB594CFBA48876BE3397C58D",1)</v>
      </c>
      <c r="D24" s="336" t="s">
        <v>62</v>
      </c>
      <c r="E24" s="28">
        <v>75</v>
      </c>
      <c r="F24" s="38">
        <v>86</v>
      </c>
      <c r="G24" s="38">
        <v>106</v>
      </c>
      <c r="H24" s="38">
        <v>91</v>
      </c>
      <c r="I24" s="38">
        <v>105</v>
      </c>
      <c r="J24" s="38">
        <v>112</v>
      </c>
      <c r="K24" s="22">
        <v>575</v>
      </c>
      <c r="L24" s="338">
        <v>340</v>
      </c>
      <c r="M24" s="338">
        <v>246</v>
      </c>
      <c r="N24" s="339" t="s">
        <v>21</v>
      </c>
      <c r="O24" s="339"/>
      <c r="P24" s="339" t="s">
        <v>21</v>
      </c>
      <c r="Q24" s="339"/>
      <c r="R24" s="2"/>
      <c r="S24" s="2"/>
    </row>
    <row r="25" ht="87.7" customHeight="1" spans="1:19">
      <c r="A25" s="340">
        <v>268</v>
      </c>
      <c r="B25" s="340" t="s">
        <v>34</v>
      </c>
      <c r="C25" s="341" t="str">
        <f>_xlfn.DISPIMG("ID_3226EFD414354A4AB2FA693A5F88FE9F",1)</f>
        <v>=DISPIMG("ID_3226EFD414354A4AB2FA693A5F88FE9F",1)</v>
      </c>
      <c r="D25" s="340" t="s">
        <v>63</v>
      </c>
      <c r="E25" s="28">
        <v>98</v>
      </c>
      <c r="F25" s="38">
        <v>73</v>
      </c>
      <c r="G25" s="38">
        <v>108</v>
      </c>
      <c r="H25" s="38">
        <v>84</v>
      </c>
      <c r="I25" s="38">
        <v>104</v>
      </c>
      <c r="J25" s="38">
        <v>105</v>
      </c>
      <c r="K25" s="22">
        <v>572</v>
      </c>
      <c r="L25" s="342">
        <v>338</v>
      </c>
      <c r="M25" s="342">
        <v>244</v>
      </c>
      <c r="N25" s="343"/>
      <c r="O25" s="343"/>
      <c r="P25" s="343"/>
      <c r="Q25" s="343"/>
      <c r="R25" s="2"/>
      <c r="S25" s="2"/>
    </row>
    <row r="26" ht="87.7" customHeight="1" spans="1:19">
      <c r="A26" s="191">
        <v>431</v>
      </c>
      <c r="B26" s="191" t="s">
        <v>64</v>
      </c>
      <c r="C26" s="192" t="str">
        <f>_xlfn.DISPIMG("ID_1B9640AA4B43489EA0AF3E578F5ADBEE",1)</f>
        <v>=DISPIMG("ID_1B9640AA4B43489EA0AF3E578F5ADBEE",1)</v>
      </c>
      <c r="D26" s="191" t="s">
        <v>65</v>
      </c>
      <c r="E26" s="28">
        <v>75</v>
      </c>
      <c r="F26" s="38">
        <v>80</v>
      </c>
      <c r="G26" s="38">
        <v>112</v>
      </c>
      <c r="H26" s="38">
        <v>94</v>
      </c>
      <c r="I26" s="38">
        <v>104</v>
      </c>
      <c r="J26" s="38">
        <v>105</v>
      </c>
      <c r="K26" s="22">
        <v>570</v>
      </c>
      <c r="L26" s="193">
        <v>338</v>
      </c>
      <c r="M26" s="193">
        <v>244</v>
      </c>
      <c r="N26" s="194"/>
      <c r="O26" s="194"/>
      <c r="P26" s="194" t="s">
        <v>21</v>
      </c>
      <c r="Q26" s="194"/>
      <c r="R26" s="2"/>
      <c r="S26" s="2"/>
    </row>
    <row r="27" ht="87.7" customHeight="1" spans="1:19">
      <c r="A27" s="127">
        <v>477</v>
      </c>
      <c r="B27" s="127" t="s">
        <v>55</v>
      </c>
      <c r="C27" s="128" t="str">
        <f>_xlfn.DISPIMG("ID_D6D6868653C14F11BF2B3A1437267A31",1)</f>
        <v>=DISPIMG("ID_D6D6868653C14F11BF2B3A1437267A31",1)</v>
      </c>
      <c r="D27" s="150" t="s">
        <v>66</v>
      </c>
      <c r="E27" s="28">
        <v>120</v>
      </c>
      <c r="F27" s="38">
        <v>85</v>
      </c>
      <c r="G27" s="38">
        <v>83</v>
      </c>
      <c r="H27" s="38">
        <v>80</v>
      </c>
      <c r="I27" s="38">
        <v>104</v>
      </c>
      <c r="J27" s="38">
        <v>105</v>
      </c>
      <c r="K27" s="22">
        <v>577</v>
      </c>
      <c r="L27" s="129">
        <v>338</v>
      </c>
      <c r="M27" s="129">
        <v>244</v>
      </c>
      <c r="N27" s="130"/>
      <c r="O27" s="130"/>
      <c r="P27" s="130"/>
      <c r="Q27" s="130" t="s">
        <v>21</v>
      </c>
      <c r="R27" s="2"/>
      <c r="S27" s="2"/>
    </row>
    <row r="28" ht="87.7" customHeight="1" spans="1:19">
      <c r="A28" s="344">
        <v>272</v>
      </c>
      <c r="B28" s="344" t="s">
        <v>52</v>
      </c>
      <c r="C28" s="345" t="str">
        <f>_xlfn.DISPIMG("ID_C1348CDA08E049C9A1A49DC47353E9A2",1)</f>
        <v>=DISPIMG("ID_C1348CDA08E049C9A1A49DC47353E9A2",1)</v>
      </c>
      <c r="D28" s="344" t="s">
        <v>67</v>
      </c>
      <c r="E28" s="28">
        <v>115</v>
      </c>
      <c r="F28" s="38">
        <v>90</v>
      </c>
      <c r="G28" s="38">
        <v>85</v>
      </c>
      <c r="H28" s="38">
        <v>72</v>
      </c>
      <c r="I28" s="38">
        <v>103</v>
      </c>
      <c r="J28" s="38">
        <v>115</v>
      </c>
      <c r="K28" s="22">
        <v>580</v>
      </c>
      <c r="L28" s="346">
        <v>336</v>
      </c>
      <c r="M28" s="346">
        <v>242</v>
      </c>
      <c r="N28" s="347" t="s">
        <v>21</v>
      </c>
      <c r="O28" s="347"/>
      <c r="P28" s="347"/>
      <c r="Q28" s="347"/>
      <c r="R28" s="2"/>
      <c r="S28" s="2"/>
    </row>
    <row r="29" ht="87.7" customHeight="1" spans="1:19">
      <c r="A29" s="173">
        <v>345</v>
      </c>
      <c r="B29" s="173" t="s">
        <v>34</v>
      </c>
      <c r="C29" s="174" t="str">
        <f>_xlfn.DISPIMG("ID_EB80CB92F8FD4630998AEB396D832D70",1)</f>
        <v>=DISPIMG("ID_EB80CB92F8FD4630998AEB396D832D70",1)</v>
      </c>
      <c r="D29" s="173" t="s">
        <v>68</v>
      </c>
      <c r="E29" s="28">
        <v>108</v>
      </c>
      <c r="F29" s="38">
        <v>82</v>
      </c>
      <c r="G29" s="38">
        <v>89</v>
      </c>
      <c r="H29" s="38">
        <v>76</v>
      </c>
      <c r="I29" s="38">
        <v>103</v>
      </c>
      <c r="J29" s="38">
        <v>102</v>
      </c>
      <c r="K29" s="22">
        <v>560</v>
      </c>
      <c r="L29" s="175">
        <v>336</v>
      </c>
      <c r="M29" s="175">
        <v>242</v>
      </c>
      <c r="N29" s="176" t="s">
        <v>21</v>
      </c>
      <c r="O29" s="176"/>
      <c r="P29" s="176"/>
      <c r="Q29" s="176"/>
      <c r="R29" s="2"/>
      <c r="S29" s="2"/>
    </row>
    <row r="30" ht="87.7" customHeight="1" spans="1:19">
      <c r="A30" s="327">
        <v>421</v>
      </c>
      <c r="B30" s="327" t="s">
        <v>41</v>
      </c>
      <c r="C30" s="328" t="str">
        <f>_xlfn.DISPIMG("ID_2F627052FB1E4CAF85E218B09D236866",1)</f>
        <v>=DISPIMG("ID_2F627052FB1E4CAF85E218B09D236866",1)</v>
      </c>
      <c r="D30" s="327" t="s">
        <v>69</v>
      </c>
      <c r="E30" s="28">
        <v>79</v>
      </c>
      <c r="F30" s="38">
        <v>91</v>
      </c>
      <c r="G30" s="38">
        <v>112</v>
      </c>
      <c r="H30" s="38">
        <v>94</v>
      </c>
      <c r="I30" s="38">
        <v>103</v>
      </c>
      <c r="J30" s="38">
        <v>102</v>
      </c>
      <c r="K30" s="22">
        <v>581</v>
      </c>
      <c r="L30" s="329">
        <v>336</v>
      </c>
      <c r="M30" s="329">
        <v>242</v>
      </c>
      <c r="N30" s="330" t="s">
        <v>21</v>
      </c>
      <c r="O30" s="330"/>
      <c r="P30" s="330"/>
      <c r="Q30" s="330"/>
      <c r="R30" s="2"/>
      <c r="S30" s="2"/>
    </row>
    <row r="31" ht="87.7" customHeight="1" spans="1:19">
      <c r="A31" s="16">
        <v>93</v>
      </c>
      <c r="B31" s="16" t="s">
        <v>17</v>
      </c>
      <c r="C31" s="18" t="str">
        <f>_xlfn.DISPIMG("ID_DEA3B9EFC0EB4295A2CCD183DED0846F",1)</f>
        <v>=DISPIMG("ID_DEA3B9EFC0EB4295A2CCD183DED0846F",1)</v>
      </c>
      <c r="D31" s="16" t="s">
        <v>70</v>
      </c>
      <c r="E31" s="28">
        <v>90</v>
      </c>
      <c r="F31" s="38">
        <v>80</v>
      </c>
      <c r="G31" s="38">
        <v>103</v>
      </c>
      <c r="H31" s="38">
        <v>90</v>
      </c>
      <c r="I31" s="38">
        <v>102</v>
      </c>
      <c r="J31" s="38">
        <v>79</v>
      </c>
      <c r="K31" s="22">
        <v>544</v>
      </c>
      <c r="L31" s="23">
        <v>334</v>
      </c>
      <c r="M31" s="23">
        <v>240</v>
      </c>
      <c r="N31" s="24"/>
      <c r="O31" s="24"/>
      <c r="P31" s="24"/>
      <c r="Q31" s="24"/>
      <c r="R31" s="2"/>
      <c r="S31" s="2"/>
    </row>
    <row r="32" ht="87.7" customHeight="1" spans="1:19">
      <c r="A32" s="109">
        <v>256</v>
      </c>
      <c r="B32" s="109" t="s">
        <v>71</v>
      </c>
      <c r="C32" s="110" t="str">
        <f>_xlfn.DISPIMG("ID_197E0AAAFBA540AFB085001A2005F983",1)</f>
        <v>=DISPIMG("ID_197E0AAAFBA540AFB085001A2005F983",1)</v>
      </c>
      <c r="D32" s="109" t="s">
        <v>72</v>
      </c>
      <c r="E32" s="28">
        <v>94</v>
      </c>
      <c r="F32" s="38">
        <v>88</v>
      </c>
      <c r="G32" s="38">
        <v>115</v>
      </c>
      <c r="H32" s="38">
        <v>90</v>
      </c>
      <c r="I32" s="38">
        <v>102</v>
      </c>
      <c r="J32" s="38">
        <v>100</v>
      </c>
      <c r="K32" s="22">
        <v>589</v>
      </c>
      <c r="L32" s="111">
        <v>334</v>
      </c>
      <c r="M32" s="111">
        <v>240</v>
      </c>
      <c r="N32" s="112"/>
      <c r="O32" s="112"/>
      <c r="P32" s="112"/>
      <c r="Q32" s="112"/>
      <c r="R32" s="2"/>
      <c r="S32" s="2"/>
    </row>
    <row r="33" ht="87.7" customHeight="1" spans="1:19">
      <c r="A33" s="105">
        <v>277</v>
      </c>
      <c r="B33" s="105" t="s">
        <v>52</v>
      </c>
      <c r="C33" s="113" t="str">
        <f>_xlfn.DISPIMG("ID_7FB7A4D80A2E4C41959B209FAE0DEBC5",1)</f>
        <v>=DISPIMG("ID_7FB7A4D80A2E4C41959B209FAE0DEBC5",1)</v>
      </c>
      <c r="D33" s="105" t="s">
        <v>73</v>
      </c>
      <c r="E33" s="28">
        <v>107</v>
      </c>
      <c r="F33" s="38">
        <v>79</v>
      </c>
      <c r="G33" s="38">
        <v>91</v>
      </c>
      <c r="H33" s="38">
        <v>95</v>
      </c>
      <c r="I33" s="38">
        <v>102</v>
      </c>
      <c r="J33" s="38">
        <v>93</v>
      </c>
      <c r="K33" s="22">
        <v>567</v>
      </c>
      <c r="L33" s="107">
        <v>334</v>
      </c>
      <c r="M33" s="107">
        <v>240</v>
      </c>
      <c r="N33" s="108"/>
      <c r="O33" s="108" t="s">
        <v>21</v>
      </c>
      <c r="P33" s="108"/>
      <c r="Q33" s="108"/>
      <c r="R33" s="2"/>
      <c r="S33" s="2"/>
    </row>
    <row r="34" ht="87.7" customHeight="1" spans="1:19">
      <c r="A34" s="49">
        <v>413</v>
      </c>
      <c r="B34" s="49" t="s">
        <v>57</v>
      </c>
      <c r="C34" s="50" t="str">
        <f>_xlfn.DISPIMG("ID_EFBBDC5B0F4A4A70A4DE6B651D0FB340",1)</f>
        <v>=DISPIMG("ID_EFBBDC5B0F4A4A70A4DE6B651D0FB340",1)</v>
      </c>
      <c r="D34" s="49" t="s">
        <v>74</v>
      </c>
      <c r="E34" s="28">
        <v>116</v>
      </c>
      <c r="F34" s="38">
        <v>96</v>
      </c>
      <c r="G34" s="38">
        <v>95</v>
      </c>
      <c r="H34" s="38">
        <v>90</v>
      </c>
      <c r="I34" s="38">
        <v>102</v>
      </c>
      <c r="J34" s="38">
        <v>120</v>
      </c>
      <c r="K34" s="22">
        <v>619</v>
      </c>
      <c r="L34" s="52">
        <v>334</v>
      </c>
      <c r="M34" s="52">
        <v>240</v>
      </c>
      <c r="N34" s="54"/>
      <c r="O34" s="54"/>
      <c r="P34" s="54"/>
      <c r="Q34" s="54"/>
      <c r="R34" s="2"/>
      <c r="S34" s="2"/>
    </row>
    <row r="35" ht="87.7" customHeight="1" spans="1:19">
      <c r="A35" s="55">
        <v>435</v>
      </c>
      <c r="B35" s="55" t="s">
        <v>28</v>
      </c>
      <c r="C35" s="56" t="str">
        <f>_xlfn.DISPIMG("ID_DB0AB2792E2F411488ABC038C3C3FE8E",1)</f>
        <v>=DISPIMG("ID_DB0AB2792E2F411488ABC038C3C3FE8E",1)</v>
      </c>
      <c r="D35" s="55" t="s">
        <v>75</v>
      </c>
      <c r="E35" s="28">
        <v>110</v>
      </c>
      <c r="F35" s="38">
        <v>85</v>
      </c>
      <c r="G35" s="38">
        <v>80</v>
      </c>
      <c r="H35" s="38">
        <v>80</v>
      </c>
      <c r="I35" s="38">
        <v>102</v>
      </c>
      <c r="J35" s="38">
        <v>100</v>
      </c>
      <c r="K35" s="22">
        <v>557</v>
      </c>
      <c r="L35" s="57">
        <v>334</v>
      </c>
      <c r="M35" s="57">
        <v>240</v>
      </c>
      <c r="N35" s="59"/>
      <c r="O35" s="59"/>
      <c r="P35" s="59"/>
      <c r="Q35" s="59" t="s">
        <v>21</v>
      </c>
      <c r="R35" s="2"/>
      <c r="S35" s="2"/>
    </row>
    <row r="36" ht="87.7" customHeight="1" spans="1:19">
      <c r="A36" s="209">
        <v>479</v>
      </c>
      <c r="B36" s="209" t="s">
        <v>76</v>
      </c>
      <c r="C36" s="210" t="str">
        <f>_xlfn.DISPIMG("ID_56ADC49B96774BAABCA992BAA9C784D2",1)</f>
        <v>=DISPIMG("ID_56ADC49B96774BAABCA992BAA9C784D2",1)</v>
      </c>
      <c r="D36" s="211" t="s">
        <v>77</v>
      </c>
      <c r="E36" s="28">
        <v>75</v>
      </c>
      <c r="F36" s="38">
        <v>74</v>
      </c>
      <c r="G36" s="38">
        <v>116</v>
      </c>
      <c r="H36" s="38">
        <v>90</v>
      </c>
      <c r="I36" s="38">
        <v>102</v>
      </c>
      <c r="J36" s="38">
        <v>110</v>
      </c>
      <c r="K36" s="22">
        <v>567</v>
      </c>
      <c r="L36" s="212">
        <v>334</v>
      </c>
      <c r="M36" s="212">
        <v>240</v>
      </c>
      <c r="N36" s="213"/>
      <c r="O36" s="213"/>
      <c r="P36" s="213" t="s">
        <v>21</v>
      </c>
      <c r="Q36" s="213"/>
      <c r="R36" s="2"/>
      <c r="S36" s="2"/>
    </row>
    <row r="37" ht="87.7" customHeight="1" spans="1:19">
      <c r="A37" s="109">
        <v>485</v>
      </c>
      <c r="B37" s="109" t="s">
        <v>71</v>
      </c>
      <c r="C37" s="110" t="str">
        <f>_xlfn.DISPIMG("ID_54E0DE61D6D34CBFAFB8447CB5552C1D",1)</f>
        <v>=DISPIMG("ID_54E0DE61D6D34CBFAFB8447CB5552C1D",1)</v>
      </c>
      <c r="D37" s="109" t="s">
        <v>78</v>
      </c>
      <c r="E37" s="28">
        <v>85</v>
      </c>
      <c r="F37" s="38">
        <v>78</v>
      </c>
      <c r="G37" s="38">
        <v>110</v>
      </c>
      <c r="H37" s="38">
        <v>82</v>
      </c>
      <c r="I37" s="38">
        <v>102</v>
      </c>
      <c r="J37" s="38">
        <v>108</v>
      </c>
      <c r="K37" s="22">
        <v>565</v>
      </c>
      <c r="L37" s="111">
        <v>334</v>
      </c>
      <c r="M37" s="111">
        <v>240</v>
      </c>
      <c r="N37" s="112" t="s">
        <v>21</v>
      </c>
      <c r="O37" s="112"/>
      <c r="P37" s="112"/>
      <c r="Q37" s="112"/>
      <c r="R37" s="2"/>
      <c r="S37" s="2"/>
    </row>
    <row r="38" ht="87.7" customHeight="1" spans="1:19">
      <c r="A38" s="49">
        <v>216</v>
      </c>
      <c r="B38" s="49" t="s">
        <v>57</v>
      </c>
      <c r="C38" s="50" t="str">
        <f>_xlfn.DISPIMG("ID_144C0B9E980D49D0BFE57CBE133282D1",1)</f>
        <v>=DISPIMG("ID_144C0B9E980D49D0BFE57CBE133282D1",1)</v>
      </c>
      <c r="D38" s="51" t="s">
        <v>79</v>
      </c>
      <c r="E38" s="28">
        <v>120</v>
      </c>
      <c r="F38" s="38">
        <v>95</v>
      </c>
      <c r="G38" s="38">
        <v>95</v>
      </c>
      <c r="H38" s="38">
        <v>90</v>
      </c>
      <c r="I38" s="38">
        <v>101</v>
      </c>
      <c r="J38" s="38">
        <v>125</v>
      </c>
      <c r="K38" s="22">
        <v>626</v>
      </c>
      <c r="L38" s="52">
        <v>331</v>
      </c>
      <c r="M38" s="52">
        <v>238</v>
      </c>
      <c r="N38" s="54" t="s">
        <v>21</v>
      </c>
      <c r="O38" s="54" t="s">
        <v>21</v>
      </c>
      <c r="P38" s="54"/>
      <c r="Q38" s="54"/>
      <c r="R38" s="2"/>
      <c r="S38" s="2"/>
    </row>
    <row r="39" ht="87.7" customHeight="1" spans="1:19">
      <c r="A39" s="173">
        <v>396</v>
      </c>
      <c r="B39" s="173" t="s">
        <v>34</v>
      </c>
      <c r="C39" s="174" t="str">
        <f>_xlfn.DISPIMG("ID_C6936CA541EC400D96528D36D5BAABC2",1)</f>
        <v>=DISPIMG("ID_C6936CA541EC400D96528D36D5BAABC2",1)</v>
      </c>
      <c r="D39" s="173" t="s">
        <v>80</v>
      </c>
      <c r="E39" s="28">
        <v>106</v>
      </c>
      <c r="F39" s="38">
        <v>79</v>
      </c>
      <c r="G39" s="38">
        <v>96</v>
      </c>
      <c r="H39" s="38">
        <v>80</v>
      </c>
      <c r="I39" s="38">
        <v>101</v>
      </c>
      <c r="J39" s="38">
        <v>108</v>
      </c>
      <c r="K39" s="22">
        <v>570</v>
      </c>
      <c r="L39" s="175">
        <v>331</v>
      </c>
      <c r="M39" s="175">
        <v>238</v>
      </c>
      <c r="N39" s="176"/>
      <c r="O39" s="176" t="s">
        <v>21</v>
      </c>
      <c r="P39" s="176" t="s">
        <v>21</v>
      </c>
      <c r="Q39" s="176"/>
      <c r="R39" s="2"/>
      <c r="S39" s="2"/>
    </row>
    <row r="40" ht="87.7" customHeight="1" spans="1:19">
      <c r="A40" s="80">
        <v>490</v>
      </c>
      <c r="B40" s="80" t="s">
        <v>52</v>
      </c>
      <c r="C40" s="81" t="str">
        <f>_xlfn.DISPIMG("ID_87430387BC7349619AFFBB9B7191FE31",1)</f>
        <v>=DISPIMG("ID_87430387BC7349619AFFBB9B7191FE31",1)</v>
      </c>
      <c r="D40" s="82" t="s">
        <v>81</v>
      </c>
      <c r="E40" s="28">
        <v>118</v>
      </c>
      <c r="F40" s="38">
        <v>88</v>
      </c>
      <c r="G40" s="38">
        <v>85</v>
      </c>
      <c r="H40" s="38">
        <v>88</v>
      </c>
      <c r="I40" s="38">
        <v>101</v>
      </c>
      <c r="J40" s="38">
        <v>110</v>
      </c>
      <c r="K40" s="22">
        <v>590</v>
      </c>
      <c r="L40" s="83">
        <v>331</v>
      </c>
      <c r="M40" s="83">
        <v>238</v>
      </c>
      <c r="N40" s="84" t="s">
        <v>21</v>
      </c>
      <c r="O40" s="84"/>
      <c r="P40" s="84"/>
      <c r="Q40" s="84"/>
      <c r="R40" s="2"/>
      <c r="S40" s="2"/>
    </row>
    <row r="41" ht="87.7" customHeight="1" spans="1:19">
      <c r="A41" s="55">
        <v>42</v>
      </c>
      <c r="B41" s="348" t="s">
        <v>28</v>
      </c>
      <c r="C41" s="56" t="str">
        <f>_xlfn.DISPIMG("ID_410FC95A3A784CBFADD2703CB5309A57",1)</f>
        <v>=DISPIMG("ID_410FC95A3A784CBFADD2703CB5309A57",1)</v>
      </c>
      <c r="D41" s="348" t="s">
        <v>82</v>
      </c>
      <c r="E41" s="28">
        <v>81</v>
      </c>
      <c r="F41" s="38">
        <v>75</v>
      </c>
      <c r="G41" s="38">
        <v>111</v>
      </c>
      <c r="H41" s="38">
        <v>100</v>
      </c>
      <c r="I41" s="38">
        <v>100</v>
      </c>
      <c r="J41" s="38">
        <v>73</v>
      </c>
      <c r="K41" s="22">
        <v>540</v>
      </c>
      <c r="L41" s="57">
        <v>329</v>
      </c>
      <c r="M41" s="57">
        <v>236</v>
      </c>
      <c r="N41" s="59"/>
      <c r="O41" s="59"/>
      <c r="P41" s="59"/>
      <c r="Q41" s="59"/>
      <c r="R41" s="2"/>
      <c r="S41" s="2"/>
    </row>
    <row r="42" ht="87.7" customHeight="1" spans="1:19">
      <c r="A42" s="16">
        <v>45</v>
      </c>
      <c r="B42" s="17" t="s">
        <v>17</v>
      </c>
      <c r="C42" s="18" t="str">
        <f>_xlfn.DISPIMG("ID_EB0EE431E76245BCBE534433193E026C",1)</f>
        <v>=DISPIMG("ID_EB0EE431E76245BCBE534433193E026C",1)</v>
      </c>
      <c r="D42" s="16" t="s">
        <v>83</v>
      </c>
      <c r="E42" s="28">
        <v>90</v>
      </c>
      <c r="F42" s="38">
        <v>55</v>
      </c>
      <c r="G42" s="38">
        <v>100</v>
      </c>
      <c r="H42" s="38">
        <v>80</v>
      </c>
      <c r="I42" s="38">
        <v>100</v>
      </c>
      <c r="J42" s="38">
        <v>70</v>
      </c>
      <c r="K42" s="22">
        <v>495</v>
      </c>
      <c r="L42" s="23">
        <v>329</v>
      </c>
      <c r="M42" s="23">
        <v>236</v>
      </c>
      <c r="N42" s="24"/>
      <c r="O42" s="24" t="s">
        <v>21</v>
      </c>
      <c r="P42" s="24"/>
      <c r="Q42" s="24"/>
      <c r="R42" s="2"/>
      <c r="S42" s="2"/>
    </row>
    <row r="43" ht="87.7" customHeight="1" spans="1:19">
      <c r="A43" s="164">
        <v>195</v>
      </c>
      <c r="B43" s="164" t="s">
        <v>17</v>
      </c>
      <c r="C43" s="165" t="str">
        <f>_xlfn.DISPIMG("ID_1D615269B8804ECFBD6C0D5784202E66",1)</f>
        <v>=DISPIMG("ID_1D615269B8804ECFBD6C0D5784202E66",1)</v>
      </c>
      <c r="D43" s="164" t="s">
        <v>84</v>
      </c>
      <c r="E43" s="28">
        <v>105</v>
      </c>
      <c r="F43" s="38">
        <v>80</v>
      </c>
      <c r="G43" s="38">
        <v>85</v>
      </c>
      <c r="H43" s="38">
        <v>60</v>
      </c>
      <c r="I43" s="38">
        <v>100</v>
      </c>
      <c r="J43" s="38">
        <v>80</v>
      </c>
      <c r="K43" s="22">
        <v>510</v>
      </c>
      <c r="L43" s="167">
        <v>329</v>
      </c>
      <c r="M43" s="167">
        <v>236</v>
      </c>
      <c r="N43" s="168"/>
      <c r="O43" s="168" t="s">
        <v>21</v>
      </c>
      <c r="P43" s="168"/>
      <c r="Q43" s="168"/>
      <c r="R43" s="2"/>
      <c r="S43" s="2"/>
    </row>
    <row r="44" ht="87.7" customHeight="1" spans="1:19">
      <c r="A44" s="173">
        <v>251</v>
      </c>
      <c r="B44" s="173" t="s">
        <v>34</v>
      </c>
      <c r="C44" s="174" t="str">
        <f>_xlfn.DISPIMG("ID_F7DAA8E49FAB4861A7367AE2B720C775",1)</f>
        <v>=DISPIMG("ID_F7DAA8E49FAB4861A7367AE2B720C775",1)</v>
      </c>
      <c r="D44" s="173" t="s">
        <v>85</v>
      </c>
      <c r="E44" s="28">
        <v>74</v>
      </c>
      <c r="F44" s="38">
        <v>75</v>
      </c>
      <c r="G44" s="38">
        <v>107</v>
      </c>
      <c r="H44" s="38">
        <v>75</v>
      </c>
      <c r="I44" s="38">
        <v>100</v>
      </c>
      <c r="J44" s="38">
        <v>90</v>
      </c>
      <c r="K44" s="22">
        <v>521</v>
      </c>
      <c r="L44" s="175">
        <v>329</v>
      </c>
      <c r="M44" s="175">
        <v>236</v>
      </c>
      <c r="N44" s="176"/>
      <c r="O44" s="176"/>
      <c r="P44" s="176" t="s">
        <v>21</v>
      </c>
      <c r="Q44" s="176"/>
      <c r="R44" s="2"/>
      <c r="S44" s="2"/>
    </row>
    <row r="45" ht="87.7" customHeight="1" spans="1:19">
      <c r="A45" s="101">
        <v>270</v>
      </c>
      <c r="B45" s="101" t="s">
        <v>86</v>
      </c>
      <c r="C45" s="102" t="str">
        <f>_xlfn.DISPIMG("ID_18A8913FD390443C9070F87CB8E67D57",1)</f>
        <v>=DISPIMG("ID_18A8913FD390443C9070F87CB8E67D57",1)</v>
      </c>
      <c r="D45" s="349" t="s">
        <v>87</v>
      </c>
      <c r="E45" s="28">
        <v>90</v>
      </c>
      <c r="F45" s="38">
        <v>80</v>
      </c>
      <c r="G45" s="38">
        <v>110</v>
      </c>
      <c r="H45" s="38">
        <v>95</v>
      </c>
      <c r="I45" s="38">
        <v>100</v>
      </c>
      <c r="J45" s="38">
        <v>105</v>
      </c>
      <c r="K45" s="22">
        <v>580</v>
      </c>
      <c r="L45" s="103">
        <v>329</v>
      </c>
      <c r="M45" s="103">
        <v>236</v>
      </c>
      <c r="N45" s="104" t="s">
        <v>21</v>
      </c>
      <c r="O45" s="104"/>
      <c r="P45" s="104"/>
      <c r="Q45" s="104"/>
      <c r="R45" s="2"/>
      <c r="S45" s="2"/>
    </row>
    <row r="46" ht="87.7" customHeight="1" spans="1:19">
      <c r="A46" s="350">
        <v>297</v>
      </c>
      <c r="B46" s="350" t="s">
        <v>86</v>
      </c>
      <c r="C46" s="351" t="str">
        <f>_xlfn.DISPIMG("ID_472F1567CDC94C20932192B1D0B49DE7",1)</f>
        <v>=DISPIMG("ID_472F1567CDC94C20932192B1D0B49DE7",1)</v>
      </c>
      <c r="D46" s="350" t="s">
        <v>88</v>
      </c>
      <c r="E46" s="28">
        <v>110</v>
      </c>
      <c r="F46" s="38">
        <v>86</v>
      </c>
      <c r="G46" s="38">
        <v>106</v>
      </c>
      <c r="H46" s="38">
        <v>80</v>
      </c>
      <c r="I46" s="38">
        <v>100</v>
      </c>
      <c r="J46" s="38">
        <v>106</v>
      </c>
      <c r="K46" s="22">
        <v>588</v>
      </c>
      <c r="L46" s="352">
        <v>329</v>
      </c>
      <c r="M46" s="352">
        <v>236</v>
      </c>
      <c r="N46" s="353" t="s">
        <v>21</v>
      </c>
      <c r="O46" s="353"/>
      <c r="P46" s="353"/>
      <c r="Q46" s="353"/>
      <c r="R46" s="2"/>
      <c r="S46" s="2"/>
    </row>
    <row r="47" ht="87.7" customHeight="1" spans="1:19">
      <c r="A47" s="127">
        <v>324</v>
      </c>
      <c r="B47" s="127" t="s">
        <v>55</v>
      </c>
      <c r="C47" s="128" t="str">
        <f>_xlfn.DISPIMG("ID_B8DCD42368F34AD4837D5A489F5DD18F",1)</f>
        <v>=DISPIMG("ID_B8DCD42368F34AD4837D5A489F5DD18F",1)</v>
      </c>
      <c r="D47" s="127" t="s">
        <v>89</v>
      </c>
      <c r="E47" s="28">
        <v>94</v>
      </c>
      <c r="F47" s="38">
        <v>88</v>
      </c>
      <c r="G47" s="38">
        <v>111</v>
      </c>
      <c r="H47" s="38">
        <v>87</v>
      </c>
      <c r="I47" s="38">
        <v>100</v>
      </c>
      <c r="J47" s="38">
        <v>101</v>
      </c>
      <c r="K47" s="22">
        <v>581</v>
      </c>
      <c r="L47" s="129">
        <v>329</v>
      </c>
      <c r="M47" s="129">
        <v>236</v>
      </c>
      <c r="N47" s="130" t="s">
        <v>21</v>
      </c>
      <c r="O47" s="130"/>
      <c r="P47" s="130"/>
      <c r="Q47" s="130" t="s">
        <v>21</v>
      </c>
      <c r="R47" s="2"/>
      <c r="S47" s="2"/>
    </row>
    <row r="48" ht="87.7" customHeight="1" spans="1:19">
      <c r="A48" s="114">
        <v>343</v>
      </c>
      <c r="B48" s="114" t="s">
        <v>90</v>
      </c>
      <c r="C48" s="115" t="str">
        <f>_xlfn.DISPIMG("ID_33230FC5AC31453AA8D7880A31996769",1)</f>
        <v>=DISPIMG("ID_33230FC5AC31453AA8D7880A31996769",1)</v>
      </c>
      <c r="D48" s="114" t="s">
        <v>91</v>
      </c>
      <c r="E48" s="28">
        <v>101</v>
      </c>
      <c r="F48" s="38">
        <v>82</v>
      </c>
      <c r="G48" s="38">
        <v>110</v>
      </c>
      <c r="H48" s="38">
        <v>88</v>
      </c>
      <c r="I48" s="38">
        <v>100</v>
      </c>
      <c r="J48" s="38">
        <v>105</v>
      </c>
      <c r="K48" s="22">
        <v>586</v>
      </c>
      <c r="L48" s="116">
        <v>329</v>
      </c>
      <c r="M48" s="116">
        <v>236</v>
      </c>
      <c r="N48" s="117"/>
      <c r="O48" s="117" t="s">
        <v>21</v>
      </c>
      <c r="P48" s="117"/>
      <c r="Q48" s="117"/>
      <c r="R48" s="2"/>
      <c r="S48" s="2"/>
    </row>
    <row r="49" ht="87.7" customHeight="1" spans="1:19">
      <c r="A49" s="55">
        <v>365</v>
      </c>
      <c r="B49" s="55" t="s">
        <v>28</v>
      </c>
      <c r="C49" s="56" t="str">
        <f>_xlfn.DISPIMG("ID_F2C71426184447E9863D39377DE65AD1",1)</f>
        <v>=DISPIMG("ID_F2C71426184447E9863D39377DE65AD1",1)</v>
      </c>
      <c r="D49" s="55" t="s">
        <v>92</v>
      </c>
      <c r="E49" s="28">
        <v>108</v>
      </c>
      <c r="F49" s="38">
        <v>85</v>
      </c>
      <c r="G49" s="38">
        <v>85</v>
      </c>
      <c r="H49" s="38">
        <v>87</v>
      </c>
      <c r="I49" s="38">
        <v>100</v>
      </c>
      <c r="J49" s="38">
        <v>95</v>
      </c>
      <c r="K49" s="22">
        <v>560</v>
      </c>
      <c r="L49" s="57">
        <v>329</v>
      </c>
      <c r="M49" s="57">
        <v>236</v>
      </c>
      <c r="N49" s="59" t="s">
        <v>21</v>
      </c>
      <c r="O49" s="59"/>
      <c r="P49" s="59"/>
      <c r="Q49" s="59"/>
      <c r="R49" s="2"/>
      <c r="S49" s="2"/>
    </row>
    <row r="50" ht="87.7" customHeight="1" spans="1:19">
      <c r="A50" s="101">
        <v>418</v>
      </c>
      <c r="B50" s="101" t="s">
        <v>86</v>
      </c>
      <c r="C50" s="102" t="str">
        <f>_xlfn.DISPIMG("ID_60E5FC53CEF646FEBCE3E71C28C42A87",1)</f>
        <v>=DISPIMG("ID_60E5FC53CEF646FEBCE3E71C28C42A87",1)</v>
      </c>
      <c r="D50" s="122" t="s">
        <v>93</v>
      </c>
      <c r="E50" s="28">
        <v>80</v>
      </c>
      <c r="F50" s="38">
        <v>77</v>
      </c>
      <c r="G50" s="38">
        <v>118</v>
      </c>
      <c r="H50" s="38">
        <v>90</v>
      </c>
      <c r="I50" s="38">
        <v>100</v>
      </c>
      <c r="J50" s="38">
        <v>95</v>
      </c>
      <c r="K50" s="22">
        <v>560</v>
      </c>
      <c r="L50" s="103">
        <v>329</v>
      </c>
      <c r="M50" s="103">
        <v>236</v>
      </c>
      <c r="N50" s="104"/>
      <c r="O50" s="104"/>
      <c r="P50" s="104"/>
      <c r="Q50" s="104"/>
      <c r="R50" s="2"/>
      <c r="S50" s="2"/>
    </row>
    <row r="51" ht="87.7" customHeight="1" spans="1:19">
      <c r="A51" s="173">
        <v>177</v>
      </c>
      <c r="B51" s="173" t="s">
        <v>34</v>
      </c>
      <c r="C51" s="174" t="str">
        <f>_xlfn.DISPIMG("ID_6AABD9BAB4134A1DA206EB4859F57B44",1)</f>
        <v>=DISPIMG("ID_6AABD9BAB4134A1DA206EB4859F57B44",1)</v>
      </c>
      <c r="D51" s="173" t="s">
        <v>94</v>
      </c>
      <c r="E51" s="28">
        <v>95</v>
      </c>
      <c r="F51" s="38">
        <v>75</v>
      </c>
      <c r="G51" s="38">
        <v>80</v>
      </c>
      <c r="H51" s="38">
        <v>80</v>
      </c>
      <c r="I51" s="38">
        <v>99</v>
      </c>
      <c r="J51" s="38">
        <v>91</v>
      </c>
      <c r="K51" s="22">
        <v>520</v>
      </c>
      <c r="L51" s="175">
        <v>327</v>
      </c>
      <c r="M51" s="175">
        <v>234</v>
      </c>
      <c r="N51" s="176"/>
      <c r="O51" s="176" t="s">
        <v>21</v>
      </c>
      <c r="P51" s="176" t="s">
        <v>21</v>
      </c>
      <c r="Q51" s="176"/>
      <c r="R51" s="2"/>
      <c r="S51" s="2"/>
    </row>
    <row r="52" ht="87.7" customHeight="1" spans="1:19">
      <c r="A52" s="214">
        <v>266</v>
      </c>
      <c r="B52" s="214" t="s">
        <v>71</v>
      </c>
      <c r="C52" s="215" t="str">
        <f>_xlfn.DISPIMG("ID_DBCC8711B5AC49FF99C8C830D4A9994C",1)</f>
        <v>=DISPIMG("ID_DBCC8711B5AC49FF99C8C830D4A9994C",1)</v>
      </c>
      <c r="D52" s="214" t="s">
        <v>95</v>
      </c>
      <c r="E52" s="28">
        <v>108</v>
      </c>
      <c r="F52" s="38">
        <v>92</v>
      </c>
      <c r="G52" s="38">
        <v>86</v>
      </c>
      <c r="H52" s="38">
        <v>84</v>
      </c>
      <c r="I52" s="38">
        <v>99</v>
      </c>
      <c r="J52" s="38">
        <v>107</v>
      </c>
      <c r="K52" s="22">
        <v>576</v>
      </c>
      <c r="L52" s="216">
        <v>327</v>
      </c>
      <c r="M52" s="216">
        <v>234</v>
      </c>
      <c r="N52" s="217" t="s">
        <v>21</v>
      </c>
      <c r="O52" s="217"/>
      <c r="P52" s="217"/>
      <c r="Q52" s="217"/>
      <c r="R52" s="2"/>
      <c r="S52" s="2"/>
    </row>
    <row r="53" ht="87.7" customHeight="1" spans="1:19">
      <c r="A53" s="354">
        <v>450</v>
      </c>
      <c r="B53" s="354" t="s">
        <v>96</v>
      </c>
      <c r="C53" s="355" t="str">
        <f>_xlfn.DISPIMG("ID_C4622E0CCA0645CFAD53D63EF9EC2B40",1)</f>
        <v>=DISPIMG("ID_C4622E0CCA0645CFAD53D63EF9EC2B40",1)</v>
      </c>
      <c r="D53" s="356" t="s">
        <v>97</v>
      </c>
      <c r="E53" s="28">
        <v>80</v>
      </c>
      <c r="F53" s="38">
        <v>80</v>
      </c>
      <c r="G53" s="38">
        <v>105</v>
      </c>
      <c r="H53" s="38">
        <v>85</v>
      </c>
      <c r="I53" s="38">
        <v>99</v>
      </c>
      <c r="J53" s="38">
        <v>105</v>
      </c>
      <c r="K53" s="22">
        <v>554</v>
      </c>
      <c r="L53" s="357">
        <v>327</v>
      </c>
      <c r="M53" s="357">
        <v>234</v>
      </c>
      <c r="N53" s="358"/>
      <c r="O53" s="358"/>
      <c r="P53" s="358"/>
      <c r="Q53" s="358"/>
      <c r="R53" s="2"/>
      <c r="S53" s="2"/>
    </row>
    <row r="54" ht="87.7" customHeight="1" spans="1:19">
      <c r="A54" s="200">
        <v>92</v>
      </c>
      <c r="B54" s="200" t="s">
        <v>34</v>
      </c>
      <c r="C54" s="201" t="str">
        <f>_xlfn.DISPIMG("ID_79D4C40807034CB59ADA61A6589FCCE4",1)</f>
        <v>=DISPIMG("ID_79D4C40807034CB59ADA61A6589FCCE4",1)</v>
      </c>
      <c r="D54" s="200" t="s">
        <v>98</v>
      </c>
      <c r="E54" s="28">
        <v>107</v>
      </c>
      <c r="F54" s="38">
        <v>81</v>
      </c>
      <c r="G54" s="38">
        <v>90</v>
      </c>
      <c r="H54" s="38">
        <v>82</v>
      </c>
      <c r="I54" s="38">
        <v>98</v>
      </c>
      <c r="J54" s="38">
        <v>82</v>
      </c>
      <c r="K54" s="22">
        <v>540</v>
      </c>
      <c r="L54" s="202">
        <v>325</v>
      </c>
      <c r="M54" s="202">
        <v>232</v>
      </c>
      <c r="N54" s="203"/>
      <c r="O54" s="203"/>
      <c r="P54" s="203"/>
      <c r="Q54" s="203"/>
      <c r="R54" s="2"/>
      <c r="S54" s="2"/>
    </row>
    <row r="55" ht="87.7" customHeight="1" spans="1:19">
      <c r="A55" s="160">
        <v>280</v>
      </c>
      <c r="B55" s="160" t="s">
        <v>90</v>
      </c>
      <c r="C55" s="161" t="str">
        <f>_xlfn.DISPIMG("ID_4262EABEA2D5437F8B9E10E13E2DDC8F",1)</f>
        <v>=DISPIMG("ID_4262EABEA2D5437F8B9E10E13E2DDC8F",1)</v>
      </c>
      <c r="D55" s="160" t="s">
        <v>99</v>
      </c>
      <c r="E55" s="28">
        <v>97</v>
      </c>
      <c r="F55" s="38">
        <v>84</v>
      </c>
      <c r="G55" s="38">
        <v>106</v>
      </c>
      <c r="H55" s="38">
        <v>91</v>
      </c>
      <c r="I55" s="38">
        <v>98</v>
      </c>
      <c r="J55" s="38">
        <v>99</v>
      </c>
      <c r="K55" s="22">
        <v>575</v>
      </c>
      <c r="L55" s="162">
        <v>325</v>
      </c>
      <c r="M55" s="162">
        <v>232</v>
      </c>
      <c r="N55" s="163"/>
      <c r="O55" s="163"/>
      <c r="P55" s="163" t="s">
        <v>21</v>
      </c>
      <c r="Q55" s="163"/>
      <c r="R55" s="2"/>
      <c r="S55" s="2"/>
    </row>
    <row r="56" ht="87.7" customHeight="1" spans="1:19">
      <c r="A56" s="72">
        <v>288</v>
      </c>
      <c r="B56" s="72" t="s">
        <v>45</v>
      </c>
      <c r="C56" s="73" t="str">
        <f>_xlfn.DISPIMG("ID_D9FF63000927489F88BCE544B7670020",1)</f>
        <v>=DISPIMG("ID_D9FF63000927489F88BCE544B7670020",1)</v>
      </c>
      <c r="D56" s="72" t="s">
        <v>100</v>
      </c>
      <c r="E56" s="28">
        <v>115</v>
      </c>
      <c r="F56" s="38">
        <v>80</v>
      </c>
      <c r="G56" s="38">
        <v>85</v>
      </c>
      <c r="H56" s="38">
        <v>80</v>
      </c>
      <c r="I56" s="38">
        <v>98</v>
      </c>
      <c r="J56" s="38">
        <v>95</v>
      </c>
      <c r="K56" s="22">
        <v>553</v>
      </c>
      <c r="L56" s="74">
        <v>325</v>
      </c>
      <c r="M56" s="74">
        <v>232</v>
      </c>
      <c r="N56" s="75"/>
      <c r="O56" s="75" t="s">
        <v>21</v>
      </c>
      <c r="P56" s="75"/>
      <c r="Q56" s="75"/>
      <c r="R56" s="2"/>
      <c r="S56" s="2"/>
    </row>
    <row r="57" ht="87.7" customHeight="1" spans="1:19">
      <c r="A57" s="359">
        <v>447</v>
      </c>
      <c r="B57" s="359" t="s">
        <v>101</v>
      </c>
      <c r="C57" s="360" t="str">
        <f>_xlfn.DISPIMG("ID_A5DFD90C76A2405AAD21D3A64367E425",1)</f>
        <v>=DISPIMG("ID_A5DFD90C76A2405AAD21D3A64367E425",1)</v>
      </c>
      <c r="D57" s="359" t="s">
        <v>102</v>
      </c>
      <c r="E57" s="28">
        <v>80</v>
      </c>
      <c r="F57" s="38">
        <v>76</v>
      </c>
      <c r="G57" s="38">
        <v>115</v>
      </c>
      <c r="H57" s="38">
        <v>88</v>
      </c>
      <c r="I57" s="38">
        <v>98</v>
      </c>
      <c r="J57" s="38">
        <v>103</v>
      </c>
      <c r="K57" s="22">
        <v>560</v>
      </c>
      <c r="L57" s="361">
        <v>325</v>
      </c>
      <c r="M57" s="361">
        <v>232</v>
      </c>
      <c r="N57" s="362"/>
      <c r="O57" s="362"/>
      <c r="P57" s="362"/>
      <c r="Q57" s="362"/>
      <c r="R57" s="2"/>
      <c r="S57" s="2"/>
    </row>
    <row r="58" ht="87.7" customHeight="1" spans="1:19">
      <c r="A58" s="177">
        <v>163</v>
      </c>
      <c r="B58" s="177" t="s">
        <v>55</v>
      </c>
      <c r="C58" s="179" t="str">
        <f>_xlfn.DISPIMG("ID_C7D43245374B48928231A75671EDE1C8",1)</f>
        <v>=DISPIMG("ID_C7D43245374B48928231A75671EDE1C8",1)</v>
      </c>
      <c r="D58" s="177" t="s">
        <v>103</v>
      </c>
      <c r="E58" s="28">
        <v>94</v>
      </c>
      <c r="F58" s="38">
        <v>80</v>
      </c>
      <c r="G58" s="38">
        <v>112</v>
      </c>
      <c r="H58" s="38">
        <v>83</v>
      </c>
      <c r="I58" s="38">
        <v>97</v>
      </c>
      <c r="J58" s="38">
        <v>86</v>
      </c>
      <c r="K58" s="22">
        <v>552</v>
      </c>
      <c r="L58" s="180">
        <v>323</v>
      </c>
      <c r="M58" s="180">
        <v>230</v>
      </c>
      <c r="N58" s="181"/>
      <c r="O58" s="181" t="s">
        <v>21</v>
      </c>
      <c r="P58" s="181"/>
      <c r="Q58" s="181"/>
      <c r="R58" s="2"/>
      <c r="S58" s="2"/>
    </row>
    <row r="59" ht="87.7" customHeight="1" spans="1:19">
      <c r="A59" s="49">
        <v>400</v>
      </c>
      <c r="B59" s="49" t="s">
        <v>57</v>
      </c>
      <c r="C59" s="50" t="str">
        <f>_xlfn.DISPIMG("ID_D6CAF35A691A4964BEA326C16A1F41A5",1)</f>
        <v>=DISPIMG("ID_D6CAF35A691A4964BEA326C16A1F41A5",1)</v>
      </c>
      <c r="D59" s="49" t="s">
        <v>104</v>
      </c>
      <c r="E59" s="28">
        <v>89</v>
      </c>
      <c r="F59" s="38">
        <v>79</v>
      </c>
      <c r="G59" s="38">
        <v>114</v>
      </c>
      <c r="H59" s="38">
        <v>101</v>
      </c>
      <c r="I59" s="38">
        <v>97</v>
      </c>
      <c r="J59" s="38">
        <v>110</v>
      </c>
      <c r="K59" s="22">
        <v>590</v>
      </c>
      <c r="L59" s="52">
        <v>323</v>
      </c>
      <c r="M59" s="52">
        <v>230</v>
      </c>
      <c r="N59" s="54"/>
      <c r="O59" s="54"/>
      <c r="P59" s="54"/>
      <c r="Q59" s="54"/>
      <c r="R59" s="2"/>
      <c r="S59" s="2"/>
    </row>
    <row r="60" ht="87.7" customHeight="1" spans="1:19">
      <c r="A60" s="169">
        <v>160</v>
      </c>
      <c r="B60" s="169" t="s">
        <v>55</v>
      </c>
      <c r="C60" s="170" t="str">
        <f>_xlfn.DISPIMG("ID_CCB9A8DD8EC54A3DBA503A3513809762",1)</f>
        <v>=DISPIMG("ID_CCB9A8DD8EC54A3DBA503A3513809762",1)</v>
      </c>
      <c r="D60" s="169" t="s">
        <v>105</v>
      </c>
      <c r="E60" s="28">
        <v>89</v>
      </c>
      <c r="F60" s="38">
        <v>85</v>
      </c>
      <c r="G60" s="38">
        <v>110</v>
      </c>
      <c r="H60" s="38">
        <v>92</v>
      </c>
      <c r="I60" s="38">
        <v>96</v>
      </c>
      <c r="J60" s="38">
        <v>75</v>
      </c>
      <c r="K60" s="22">
        <v>547</v>
      </c>
      <c r="L60" s="171">
        <v>320</v>
      </c>
      <c r="M60" s="171">
        <v>228</v>
      </c>
      <c r="N60" s="172" t="s">
        <v>21</v>
      </c>
      <c r="O60" s="172"/>
      <c r="P60" s="172"/>
      <c r="Q60" s="172"/>
      <c r="R60" s="2"/>
      <c r="S60" s="2"/>
    </row>
    <row r="61" ht="87.7" customHeight="1" spans="1:19">
      <c r="A61" s="88">
        <v>315</v>
      </c>
      <c r="B61" s="88" t="s">
        <v>106</v>
      </c>
      <c r="C61" s="89" t="str">
        <f>_xlfn.DISPIMG("ID_C93B8204F5544F269EBD8C5F9DC54666",1)</f>
        <v>=DISPIMG("ID_C93B8204F5544F269EBD8C5F9DC54666",1)</v>
      </c>
      <c r="D61" s="88" t="s">
        <v>107</v>
      </c>
      <c r="E61" s="28">
        <v>90</v>
      </c>
      <c r="F61" s="38">
        <v>84</v>
      </c>
      <c r="G61" s="38">
        <v>120</v>
      </c>
      <c r="H61" s="38">
        <v>95</v>
      </c>
      <c r="I61" s="38">
        <v>96</v>
      </c>
      <c r="J61" s="38">
        <v>105</v>
      </c>
      <c r="K61" s="22">
        <v>590</v>
      </c>
      <c r="L61" s="90">
        <v>320</v>
      </c>
      <c r="M61" s="90">
        <v>228</v>
      </c>
      <c r="N61" s="91"/>
      <c r="O61" s="91"/>
      <c r="P61" s="91"/>
      <c r="Q61" s="91"/>
      <c r="R61" s="2"/>
      <c r="S61" s="2"/>
    </row>
    <row r="62" ht="87.7" customHeight="1" spans="1:19">
      <c r="A62" s="164">
        <v>455</v>
      </c>
      <c r="B62" s="164" t="s">
        <v>17</v>
      </c>
      <c r="C62" s="165" t="str">
        <f>_xlfn.DISPIMG("ID_ACCAF94CC31F434D8D8B6731E6B2B7F0",1)</f>
        <v>=DISPIMG("ID_ACCAF94CC31F434D8D8B6731E6B2B7F0",1)</v>
      </c>
      <c r="D62" s="164" t="s">
        <v>108</v>
      </c>
      <c r="E62" s="28">
        <v>78</v>
      </c>
      <c r="F62" s="38">
        <v>78</v>
      </c>
      <c r="G62" s="38">
        <v>102</v>
      </c>
      <c r="H62" s="38">
        <v>88</v>
      </c>
      <c r="I62" s="38">
        <v>96</v>
      </c>
      <c r="J62" s="38">
        <v>102</v>
      </c>
      <c r="K62" s="22">
        <v>544</v>
      </c>
      <c r="L62" s="167">
        <v>320</v>
      </c>
      <c r="M62" s="167">
        <v>228</v>
      </c>
      <c r="N62" s="168"/>
      <c r="O62" s="168"/>
      <c r="P62" s="168" t="s">
        <v>21</v>
      </c>
      <c r="Q62" s="168"/>
      <c r="R62" s="2"/>
      <c r="S62" s="2"/>
    </row>
    <row r="63" ht="87.7" customHeight="1" spans="1:19">
      <c r="A63" s="169">
        <v>118</v>
      </c>
      <c r="B63" s="169" t="s">
        <v>55</v>
      </c>
      <c r="C63" s="170" t="str">
        <f>_xlfn.DISPIMG("ID_7EB69BC306C546DC872816EFD698A1FC",1)</f>
        <v>=DISPIMG("ID_7EB69BC306C546DC872816EFD698A1FC",1)</v>
      </c>
      <c r="D63" s="169" t="s">
        <v>109</v>
      </c>
      <c r="E63" s="28">
        <v>106</v>
      </c>
      <c r="F63" s="38">
        <v>82</v>
      </c>
      <c r="G63" s="38">
        <v>94</v>
      </c>
      <c r="H63" s="38">
        <v>83</v>
      </c>
      <c r="I63" s="38">
        <v>95</v>
      </c>
      <c r="J63" s="38">
        <v>86</v>
      </c>
      <c r="K63" s="22">
        <v>546</v>
      </c>
      <c r="L63" s="171">
        <v>318</v>
      </c>
      <c r="M63" s="171">
        <v>226</v>
      </c>
      <c r="N63" s="172" t="s">
        <v>21</v>
      </c>
      <c r="O63" s="172"/>
      <c r="P63" s="172"/>
      <c r="Q63" s="172"/>
      <c r="R63" s="2"/>
      <c r="S63" s="2"/>
    </row>
    <row r="64" ht="87.7" customHeight="1" spans="1:19">
      <c r="A64" s="80">
        <v>142</v>
      </c>
      <c r="B64" s="80" t="s">
        <v>52</v>
      </c>
      <c r="C64" s="81" t="str">
        <f>_xlfn.DISPIMG("ID_805379393CAE442B9343EDBB9A7084B9",1)</f>
        <v>=DISPIMG("ID_805379393CAE442B9343EDBB9A7084B9",1)</v>
      </c>
      <c r="D64" s="80" t="s">
        <v>110</v>
      </c>
      <c r="E64" s="28">
        <v>110</v>
      </c>
      <c r="F64" s="38">
        <v>85</v>
      </c>
      <c r="G64" s="38">
        <v>81</v>
      </c>
      <c r="H64" s="38">
        <v>75</v>
      </c>
      <c r="I64" s="38">
        <v>95</v>
      </c>
      <c r="J64" s="38">
        <v>89</v>
      </c>
      <c r="K64" s="22">
        <v>535</v>
      </c>
      <c r="L64" s="83">
        <v>318</v>
      </c>
      <c r="M64" s="83">
        <v>226</v>
      </c>
      <c r="N64" s="84" t="s">
        <v>21</v>
      </c>
      <c r="O64" s="84"/>
      <c r="P64" s="84"/>
      <c r="Q64" s="84"/>
      <c r="R64" s="2"/>
      <c r="S64" s="2"/>
    </row>
    <row r="65" ht="87.7" customHeight="1" spans="1:19">
      <c r="A65" s="291">
        <v>147</v>
      </c>
      <c r="B65" s="292" t="s">
        <v>17</v>
      </c>
      <c r="C65" s="293" t="str">
        <f>_xlfn.DISPIMG("ID_10D43E459F6E414D8E83A726214C7B60",1)</f>
        <v>=DISPIMG("ID_10D43E459F6E414D8E83A726214C7B60",1)</v>
      </c>
      <c r="D65" s="291" t="s">
        <v>111</v>
      </c>
      <c r="E65" s="28">
        <v>110</v>
      </c>
      <c r="F65" s="38">
        <v>90</v>
      </c>
      <c r="G65" s="38">
        <v>80</v>
      </c>
      <c r="H65" s="38">
        <v>78</v>
      </c>
      <c r="I65" s="38">
        <v>95</v>
      </c>
      <c r="J65" s="38">
        <v>89</v>
      </c>
      <c r="K65" s="22">
        <v>542</v>
      </c>
      <c r="L65" s="294">
        <v>318</v>
      </c>
      <c r="M65" s="294">
        <v>226</v>
      </c>
      <c r="N65" s="295" t="s">
        <v>21</v>
      </c>
      <c r="O65" s="295"/>
      <c r="P65" s="295"/>
      <c r="Q65" s="295"/>
      <c r="R65" s="2"/>
      <c r="S65" s="2"/>
    </row>
    <row r="66" ht="87.7" customHeight="1" spans="1:19">
      <c r="A66" s="64">
        <v>171</v>
      </c>
      <c r="B66" s="64" t="s">
        <v>38</v>
      </c>
      <c r="C66" s="65" t="str">
        <f>_xlfn.DISPIMG("ID_CE4A7A7D69644A76BCB6D590205E0FDA",1)</f>
        <v>=DISPIMG("ID_CE4A7A7D69644A76BCB6D590205E0FDA",1)</v>
      </c>
      <c r="D66" s="64" t="s">
        <v>112</v>
      </c>
      <c r="E66" s="28">
        <v>95</v>
      </c>
      <c r="F66" s="38">
        <v>60</v>
      </c>
      <c r="G66" s="38">
        <v>120</v>
      </c>
      <c r="H66" s="38">
        <v>60</v>
      </c>
      <c r="I66" s="38">
        <v>95</v>
      </c>
      <c r="J66" s="38">
        <v>75</v>
      </c>
      <c r="K66" s="22">
        <v>505</v>
      </c>
      <c r="L66" s="66">
        <v>318</v>
      </c>
      <c r="M66" s="66">
        <v>226</v>
      </c>
      <c r="N66" s="67"/>
      <c r="O66" s="67" t="s">
        <v>21</v>
      </c>
      <c r="P66" s="67"/>
      <c r="Q66" s="67" t="s">
        <v>21</v>
      </c>
      <c r="R66" s="2"/>
      <c r="S66" s="2"/>
    </row>
    <row r="67" ht="87.7" customHeight="1" spans="1:19">
      <c r="A67" s="127">
        <v>192</v>
      </c>
      <c r="B67" s="127" t="s">
        <v>55</v>
      </c>
      <c r="C67" s="128" t="str">
        <f>_xlfn.DISPIMG("ID_58E3D997BF9B457FA5EAB140F41F06BB",1)</f>
        <v>=DISPIMG("ID_58E3D997BF9B457FA5EAB140F41F06BB",1)</v>
      </c>
      <c r="D67" s="127" t="s">
        <v>113</v>
      </c>
      <c r="E67" s="28">
        <v>110</v>
      </c>
      <c r="F67" s="38">
        <v>86</v>
      </c>
      <c r="G67" s="38">
        <v>87</v>
      </c>
      <c r="H67" s="38">
        <v>78</v>
      </c>
      <c r="I67" s="38">
        <v>95</v>
      </c>
      <c r="J67" s="38">
        <v>83</v>
      </c>
      <c r="K67" s="22">
        <v>539</v>
      </c>
      <c r="L67" s="129">
        <v>318</v>
      </c>
      <c r="M67" s="129">
        <v>226</v>
      </c>
      <c r="N67" s="130"/>
      <c r="O67" s="130"/>
      <c r="P67" s="130"/>
      <c r="Q67" s="130"/>
      <c r="R67" s="2"/>
      <c r="S67" s="2"/>
    </row>
    <row r="68" ht="87.7" customHeight="1" spans="1:19">
      <c r="A68" s="97">
        <v>253</v>
      </c>
      <c r="B68" s="97" t="s">
        <v>71</v>
      </c>
      <c r="C68" s="98" t="str">
        <f>_xlfn.DISPIMG("ID_ADF184A6489B41E8BCE8082D9F3BCDC8",1)</f>
        <v>=DISPIMG("ID_ADF184A6489B41E8BCE8082D9F3BCDC8",1)</v>
      </c>
      <c r="D68" s="97" t="s">
        <v>114</v>
      </c>
      <c r="E68" s="28">
        <v>110</v>
      </c>
      <c r="F68" s="38">
        <v>86</v>
      </c>
      <c r="G68" s="38">
        <v>100</v>
      </c>
      <c r="H68" s="38">
        <v>84</v>
      </c>
      <c r="I68" s="38">
        <v>95</v>
      </c>
      <c r="J68" s="38">
        <v>95</v>
      </c>
      <c r="K68" s="22">
        <v>570</v>
      </c>
      <c r="L68" s="99">
        <v>318</v>
      </c>
      <c r="M68" s="99">
        <v>226</v>
      </c>
      <c r="N68" s="100" t="s">
        <v>21</v>
      </c>
      <c r="O68" s="100"/>
      <c r="P68" s="100"/>
      <c r="Q68" s="100" t="s">
        <v>21</v>
      </c>
      <c r="R68" s="2"/>
      <c r="S68" s="2"/>
    </row>
    <row r="69" ht="87.7" customHeight="1" spans="1:19">
      <c r="A69" s="118">
        <v>318</v>
      </c>
      <c r="B69" s="118" t="s">
        <v>115</v>
      </c>
      <c r="C69" s="119" t="str">
        <f>_xlfn.DISPIMG("ID_BA2AF0DE7B3143D5969E0557F2FB3C77",1)</f>
        <v>=DISPIMG("ID_BA2AF0DE7B3143D5969E0557F2FB3C77",1)</v>
      </c>
      <c r="D69" s="118" t="s">
        <v>116</v>
      </c>
      <c r="E69" s="28">
        <v>117</v>
      </c>
      <c r="F69" s="38">
        <v>100</v>
      </c>
      <c r="G69" s="38">
        <v>75</v>
      </c>
      <c r="H69" s="38">
        <v>80</v>
      </c>
      <c r="I69" s="38">
        <v>95</v>
      </c>
      <c r="J69" s="38">
        <v>115</v>
      </c>
      <c r="K69" s="22">
        <v>582</v>
      </c>
      <c r="L69" s="120">
        <v>318</v>
      </c>
      <c r="M69" s="120">
        <v>226</v>
      </c>
      <c r="N69" s="121"/>
      <c r="O69" s="121"/>
      <c r="P69" s="121"/>
      <c r="Q69" s="121" t="s">
        <v>21</v>
      </c>
      <c r="R69" s="2"/>
      <c r="S69" s="2"/>
    </row>
    <row r="70" ht="87.7" customHeight="1" spans="1:19">
      <c r="A70" s="109">
        <v>329</v>
      </c>
      <c r="B70" s="109" t="s">
        <v>71</v>
      </c>
      <c r="C70" s="110" t="str">
        <f>_xlfn.DISPIMG("ID_92DDDC72502143B9A9A7751C15247977",1)</f>
        <v>=DISPIMG("ID_92DDDC72502143B9A9A7751C15247977",1)</v>
      </c>
      <c r="D70" s="109" t="s">
        <v>117</v>
      </c>
      <c r="E70" s="28">
        <v>72</v>
      </c>
      <c r="F70" s="38">
        <v>71</v>
      </c>
      <c r="G70" s="38">
        <v>95</v>
      </c>
      <c r="H70" s="38">
        <v>104</v>
      </c>
      <c r="I70" s="38">
        <v>95</v>
      </c>
      <c r="J70" s="38">
        <v>95</v>
      </c>
      <c r="K70" s="22">
        <v>532</v>
      </c>
      <c r="L70" s="111">
        <v>318</v>
      </c>
      <c r="M70" s="111">
        <v>226</v>
      </c>
      <c r="N70" s="112" t="s">
        <v>21</v>
      </c>
      <c r="O70" s="112"/>
      <c r="P70" s="112" t="s">
        <v>21</v>
      </c>
      <c r="Q70" s="112"/>
      <c r="R70" s="2"/>
      <c r="S70" s="2"/>
    </row>
    <row r="71" ht="87.7" customHeight="1" spans="1:19">
      <c r="A71" s="101">
        <v>353</v>
      </c>
      <c r="B71" s="101" t="s">
        <v>86</v>
      </c>
      <c r="C71" s="102" t="str">
        <f>_xlfn.DISPIMG("ID_8674A893591146D8A1DE313B9494F8EB",1)</f>
        <v>=DISPIMG("ID_8674A893591146D8A1DE313B9494F8EB",1)</v>
      </c>
      <c r="D71" s="122" t="s">
        <v>118</v>
      </c>
      <c r="E71" s="28">
        <v>88</v>
      </c>
      <c r="F71" s="38">
        <v>104</v>
      </c>
      <c r="G71" s="38">
        <v>84</v>
      </c>
      <c r="H71" s="38">
        <v>104</v>
      </c>
      <c r="I71" s="38">
        <v>95</v>
      </c>
      <c r="J71" s="38">
        <v>108</v>
      </c>
      <c r="K71" s="22">
        <v>583</v>
      </c>
      <c r="L71" s="103">
        <v>318</v>
      </c>
      <c r="M71" s="103">
        <v>226</v>
      </c>
      <c r="N71" s="104"/>
      <c r="O71" s="104"/>
      <c r="P71" s="104"/>
      <c r="Q71" s="104" t="s">
        <v>21</v>
      </c>
      <c r="R71" s="2"/>
      <c r="S71" s="2"/>
    </row>
    <row r="72" ht="87.7" customHeight="1" spans="1:19">
      <c r="A72" s="236">
        <v>453</v>
      </c>
      <c r="B72" s="236" t="s">
        <v>119</v>
      </c>
      <c r="C72" s="237" t="str">
        <f>_xlfn.DISPIMG("ID_06F70C42C3C04D1CB63273A388791347",1)</f>
        <v>=DISPIMG("ID_06F70C42C3C04D1CB63273A388791347",1)</v>
      </c>
      <c r="D72" s="236" t="s">
        <v>120</v>
      </c>
      <c r="E72" s="28">
        <v>110</v>
      </c>
      <c r="F72" s="38">
        <v>87</v>
      </c>
      <c r="G72" s="38">
        <v>80</v>
      </c>
      <c r="H72" s="38">
        <v>83</v>
      </c>
      <c r="I72" s="38">
        <v>95</v>
      </c>
      <c r="J72" s="38">
        <v>105</v>
      </c>
      <c r="K72" s="22">
        <v>560</v>
      </c>
      <c r="L72" s="238">
        <v>318</v>
      </c>
      <c r="M72" s="238">
        <v>226</v>
      </c>
      <c r="N72" s="239"/>
      <c r="O72" s="239"/>
      <c r="P72" s="239"/>
      <c r="Q72" s="239"/>
      <c r="R72" s="2"/>
      <c r="S72" s="2"/>
    </row>
    <row r="73" ht="87.7" customHeight="1" spans="1:19">
      <c r="A73" s="363">
        <v>462</v>
      </c>
      <c r="B73" s="363" t="s">
        <v>121</v>
      </c>
      <c r="C73" s="364" t="str">
        <f>_xlfn.DISPIMG("ID_87F20231915843DD8663EB7B3EFBEDE8",1)</f>
        <v>=DISPIMG("ID_87F20231915843DD8663EB7B3EFBEDE8",1)</v>
      </c>
      <c r="D73" s="365" t="s">
        <v>122</v>
      </c>
      <c r="E73" s="28">
        <v>110</v>
      </c>
      <c r="F73" s="38">
        <v>82</v>
      </c>
      <c r="G73" s="38">
        <v>111</v>
      </c>
      <c r="H73" s="38">
        <v>83</v>
      </c>
      <c r="I73" s="38">
        <v>95</v>
      </c>
      <c r="J73" s="38">
        <v>109</v>
      </c>
      <c r="K73" s="22">
        <v>590</v>
      </c>
      <c r="L73" s="366">
        <v>318</v>
      </c>
      <c r="M73" s="366">
        <v>226</v>
      </c>
      <c r="N73" s="367"/>
      <c r="O73" s="367"/>
      <c r="P73" s="367"/>
      <c r="Q73" s="367"/>
      <c r="R73" s="2"/>
      <c r="S73" s="2"/>
    </row>
    <row r="74" ht="87.7" customHeight="1" spans="1:19">
      <c r="A74" s="101">
        <v>500</v>
      </c>
      <c r="B74" s="101" t="s">
        <v>86</v>
      </c>
      <c r="C74" s="102" t="str">
        <f>_xlfn.DISPIMG("ID_BEE5284AC808494ABD5923866248B283",1)</f>
        <v>=DISPIMG("ID_BEE5284AC808494ABD5923866248B283",1)</v>
      </c>
      <c r="D74" s="101" t="s">
        <v>123</v>
      </c>
      <c r="E74" s="28">
        <v>86</v>
      </c>
      <c r="F74" s="38">
        <v>78</v>
      </c>
      <c r="G74" s="38">
        <v>118</v>
      </c>
      <c r="H74" s="38">
        <v>87</v>
      </c>
      <c r="I74" s="38">
        <v>95</v>
      </c>
      <c r="J74" s="38">
        <v>106</v>
      </c>
      <c r="K74" s="22">
        <v>570</v>
      </c>
      <c r="L74" s="103">
        <v>318</v>
      </c>
      <c r="M74" s="103">
        <v>226</v>
      </c>
      <c r="N74" s="101"/>
      <c r="O74" s="101"/>
      <c r="P74" s="101" t="s">
        <v>124</v>
      </c>
      <c r="Q74" s="101"/>
      <c r="R74" s="2"/>
      <c r="S74" s="2"/>
    </row>
    <row r="75" ht="87.7" customHeight="1" spans="1:19">
      <c r="A75" s="60">
        <v>444</v>
      </c>
      <c r="B75" s="60" t="s">
        <v>125</v>
      </c>
      <c r="C75" s="61" t="str">
        <f>_xlfn.DISPIMG("ID_E6DF582CCFA24608BEB8DF50B01A8DB0",1)</f>
        <v>=DISPIMG("ID_E6DF582CCFA24608BEB8DF50B01A8DB0",1)</v>
      </c>
      <c r="D75" s="60" t="s">
        <v>126</v>
      </c>
      <c r="E75" s="28">
        <v>110</v>
      </c>
      <c r="F75" s="38">
        <v>83</v>
      </c>
      <c r="G75" s="38">
        <v>107</v>
      </c>
      <c r="H75" s="38">
        <v>84</v>
      </c>
      <c r="I75" s="38">
        <v>94</v>
      </c>
      <c r="J75" s="38">
        <v>100</v>
      </c>
      <c r="K75" s="22">
        <v>578</v>
      </c>
      <c r="L75" s="62">
        <v>316</v>
      </c>
      <c r="M75" s="62">
        <v>224</v>
      </c>
      <c r="N75" s="63" t="s">
        <v>21</v>
      </c>
      <c r="O75" s="63"/>
      <c r="P75" s="63"/>
      <c r="Q75" s="63"/>
      <c r="R75" s="2"/>
      <c r="S75" s="2"/>
    </row>
    <row r="76" ht="87.7" customHeight="1" spans="1:19">
      <c r="A76" s="114">
        <v>465</v>
      </c>
      <c r="B76" s="114" t="s">
        <v>90</v>
      </c>
      <c r="C76" s="115" t="str">
        <f>_xlfn.DISPIMG("ID_22A71895A1C9462882F4553D6B08A7DC",1)</f>
        <v>=DISPIMG("ID_22A71895A1C9462882F4553D6B08A7DC",1)</v>
      </c>
      <c r="D76" s="114" t="s">
        <v>127</v>
      </c>
      <c r="E76" s="28">
        <v>98</v>
      </c>
      <c r="F76" s="38">
        <v>79</v>
      </c>
      <c r="G76" s="38">
        <v>105</v>
      </c>
      <c r="H76" s="38">
        <v>78</v>
      </c>
      <c r="I76" s="38">
        <v>94</v>
      </c>
      <c r="J76" s="38">
        <v>106</v>
      </c>
      <c r="K76" s="22">
        <v>560</v>
      </c>
      <c r="L76" s="116">
        <v>316</v>
      </c>
      <c r="M76" s="116">
        <v>224</v>
      </c>
      <c r="N76" s="117" t="s">
        <v>21</v>
      </c>
      <c r="O76" s="117"/>
      <c r="P76" s="117"/>
      <c r="Q76" s="117"/>
      <c r="R76" s="2"/>
      <c r="S76" s="2"/>
    </row>
    <row r="77" ht="87.7" customHeight="1" spans="1:19">
      <c r="A77" s="31">
        <v>503</v>
      </c>
      <c r="B77" s="31" t="s">
        <v>128</v>
      </c>
      <c r="C77" s="32" t="str">
        <f>_xlfn.DISPIMG("ID_5840B76F2DC74B7186430AAE1985B509",1)</f>
        <v>=DISPIMG("ID_5840B76F2DC74B7186430AAE1985B509",1)</v>
      </c>
      <c r="D77" s="31" t="s">
        <v>129</v>
      </c>
      <c r="E77" s="28">
        <v>120</v>
      </c>
      <c r="F77" s="38">
        <v>97</v>
      </c>
      <c r="G77" s="38">
        <v>120</v>
      </c>
      <c r="H77" s="38">
        <v>93</v>
      </c>
      <c r="I77" s="38">
        <v>94</v>
      </c>
      <c r="J77" s="38">
        <v>131</v>
      </c>
      <c r="K77" s="22">
        <v>655</v>
      </c>
      <c r="L77" s="33">
        <v>316</v>
      </c>
      <c r="M77" s="33">
        <v>224</v>
      </c>
      <c r="N77" s="34"/>
      <c r="O77" s="34" t="s">
        <v>21</v>
      </c>
      <c r="P77" s="34"/>
      <c r="Q77" s="34"/>
      <c r="R77" s="2"/>
      <c r="S77" s="2"/>
    </row>
    <row r="78" ht="87.7" customHeight="1" spans="1:19">
      <c r="A78" s="344">
        <v>149</v>
      </c>
      <c r="B78" s="344" t="s">
        <v>52</v>
      </c>
      <c r="C78" s="345" t="str">
        <f>_xlfn.DISPIMG("ID_CD11BE2B234944BC8F0F7DB8ACF4FE3C",1)</f>
        <v>=DISPIMG("ID_CD11BE2B234944BC8F0F7DB8ACF4FE3C",1)</v>
      </c>
      <c r="D78" s="344" t="s">
        <v>130</v>
      </c>
      <c r="E78" s="28">
        <v>113</v>
      </c>
      <c r="F78" s="38">
        <v>80</v>
      </c>
      <c r="G78" s="38">
        <v>79</v>
      </c>
      <c r="H78" s="38">
        <v>82</v>
      </c>
      <c r="I78" s="38">
        <v>93</v>
      </c>
      <c r="J78" s="38">
        <v>91</v>
      </c>
      <c r="K78" s="22">
        <v>538</v>
      </c>
      <c r="L78" s="346">
        <v>314</v>
      </c>
      <c r="M78" s="346">
        <v>222</v>
      </c>
      <c r="N78" s="347" t="s">
        <v>21</v>
      </c>
      <c r="O78" s="347"/>
      <c r="P78" s="347"/>
      <c r="Q78" s="347"/>
      <c r="R78" s="2"/>
      <c r="S78" s="2"/>
    </row>
    <row r="79" ht="87.7" customHeight="1" spans="1:19">
      <c r="A79" s="60">
        <v>245</v>
      </c>
      <c r="B79" s="60" t="s">
        <v>125</v>
      </c>
      <c r="C79" s="61" t="str">
        <f>_xlfn.DISPIMG("ID_F73C98B04F494050B175B81C310E9B9C",1)</f>
        <v>=DISPIMG("ID_F73C98B04F494050B175B81C310E9B9C",1)</v>
      </c>
      <c r="D79" s="60" t="s">
        <v>131</v>
      </c>
      <c r="E79" s="28">
        <v>112</v>
      </c>
      <c r="F79" s="38">
        <v>86</v>
      </c>
      <c r="G79" s="38">
        <v>84</v>
      </c>
      <c r="H79" s="38">
        <v>74</v>
      </c>
      <c r="I79" s="38">
        <v>93</v>
      </c>
      <c r="J79" s="38">
        <v>108</v>
      </c>
      <c r="K79" s="22">
        <v>557</v>
      </c>
      <c r="L79" s="62">
        <v>314</v>
      </c>
      <c r="M79" s="62">
        <v>222</v>
      </c>
      <c r="N79" s="63" t="s">
        <v>21</v>
      </c>
      <c r="O79" s="255"/>
      <c r="P79" s="218" t="s">
        <v>132</v>
      </c>
      <c r="Q79" s="60"/>
      <c r="R79" s="2"/>
      <c r="S79" s="2"/>
    </row>
    <row r="80" ht="87.7" customHeight="1" spans="1:19">
      <c r="A80" s="60">
        <v>438</v>
      </c>
      <c r="B80" s="60" t="s">
        <v>125</v>
      </c>
      <c r="C80" s="61" t="str">
        <f>_xlfn.DISPIMG("ID_FFC6774D17C34067996FAEDC25DCF461",1)</f>
        <v>=DISPIMG("ID_FFC6774D17C34067996FAEDC25DCF461",1)</v>
      </c>
      <c r="D80" s="60" t="s">
        <v>133</v>
      </c>
      <c r="E80" s="28">
        <v>98</v>
      </c>
      <c r="F80" s="38">
        <v>75</v>
      </c>
      <c r="G80" s="38">
        <v>116</v>
      </c>
      <c r="H80" s="38">
        <v>80</v>
      </c>
      <c r="I80" s="38">
        <v>93</v>
      </c>
      <c r="J80" s="38">
        <v>99</v>
      </c>
      <c r="K80" s="22">
        <v>561</v>
      </c>
      <c r="L80" s="62">
        <v>314</v>
      </c>
      <c r="M80" s="62">
        <v>222</v>
      </c>
      <c r="N80" s="63"/>
      <c r="O80" s="63"/>
      <c r="P80" s="63" t="s">
        <v>21</v>
      </c>
      <c r="Q80" s="63"/>
      <c r="R80" s="2"/>
      <c r="S80" s="2"/>
    </row>
    <row r="81" ht="87.7" customHeight="1" spans="1:19">
      <c r="A81" s="118">
        <v>441</v>
      </c>
      <c r="B81" s="118" t="s">
        <v>115</v>
      </c>
      <c r="C81" s="119" t="str">
        <f>_xlfn.DISPIMG("ID_837C659722F04F2CB1940D5E9A9452F4",1)</f>
        <v>=DISPIMG("ID_837C659722F04F2CB1940D5E9A9452F4",1)</v>
      </c>
      <c r="D81" s="118" t="s">
        <v>134</v>
      </c>
      <c r="E81" s="28">
        <v>85</v>
      </c>
      <c r="F81" s="38">
        <v>114</v>
      </c>
      <c r="G81" s="38">
        <v>73</v>
      </c>
      <c r="H81" s="38">
        <v>85</v>
      </c>
      <c r="I81" s="38">
        <v>93</v>
      </c>
      <c r="J81" s="38">
        <v>110</v>
      </c>
      <c r="K81" s="22">
        <v>560</v>
      </c>
      <c r="L81" s="120">
        <v>314</v>
      </c>
      <c r="M81" s="120">
        <v>222</v>
      </c>
      <c r="N81" s="121"/>
      <c r="O81" s="121"/>
      <c r="P81" s="121"/>
      <c r="Q81" s="121"/>
      <c r="R81" s="2"/>
      <c r="S81" s="2"/>
    </row>
    <row r="82" ht="87.7" customHeight="1" spans="1:19">
      <c r="A82" s="127">
        <v>94</v>
      </c>
      <c r="B82" s="127" t="s">
        <v>55</v>
      </c>
      <c r="C82" s="128" t="str">
        <f>_xlfn.DISPIMG("ID_995968A8D6A24B2EBF6D8DB02C77394D",1)</f>
        <v>=DISPIMG("ID_995968A8D6A24B2EBF6D8DB02C77394D",1)</v>
      </c>
      <c r="D82" s="127" t="s">
        <v>135</v>
      </c>
      <c r="E82" s="28">
        <v>106</v>
      </c>
      <c r="F82" s="38">
        <v>88</v>
      </c>
      <c r="G82" s="38">
        <v>91</v>
      </c>
      <c r="H82" s="38">
        <v>86</v>
      </c>
      <c r="I82" s="38">
        <v>92</v>
      </c>
      <c r="J82" s="38">
        <v>85</v>
      </c>
      <c r="K82" s="22">
        <v>548</v>
      </c>
      <c r="L82" s="129">
        <v>312</v>
      </c>
      <c r="M82" s="129">
        <v>220</v>
      </c>
      <c r="N82" s="130"/>
      <c r="O82" s="130"/>
      <c r="P82" s="130"/>
      <c r="Q82" s="130"/>
      <c r="R82" s="2"/>
      <c r="S82" s="2"/>
    </row>
    <row r="83" ht="87.7" customHeight="1" spans="1:19">
      <c r="A83" s="136">
        <v>312</v>
      </c>
      <c r="B83" s="136" t="s">
        <v>86</v>
      </c>
      <c r="C83" s="137" t="str">
        <f>_xlfn.DISPIMG("ID_C4E70F3F8103408CAB25EFB53CF1BD25",1)</f>
        <v>=DISPIMG("ID_C4E70F3F8103408CAB25EFB53CF1BD25",1)</v>
      </c>
      <c r="D83" s="264" t="s">
        <v>136</v>
      </c>
      <c r="E83" s="28">
        <v>88</v>
      </c>
      <c r="F83" s="38">
        <v>78</v>
      </c>
      <c r="G83" s="38">
        <v>118</v>
      </c>
      <c r="H83" s="38">
        <v>80</v>
      </c>
      <c r="I83" s="38">
        <v>92</v>
      </c>
      <c r="J83" s="38">
        <v>91</v>
      </c>
      <c r="K83" s="22">
        <v>547</v>
      </c>
      <c r="L83" s="139">
        <v>312</v>
      </c>
      <c r="M83" s="139">
        <v>220</v>
      </c>
      <c r="N83" s="140"/>
      <c r="O83" s="140"/>
      <c r="P83" s="140"/>
      <c r="Q83" s="140"/>
      <c r="R83" s="2"/>
      <c r="S83" s="2"/>
    </row>
    <row r="84" ht="87.7" customHeight="1" spans="1:19">
      <c r="A84" s="118">
        <v>408</v>
      </c>
      <c r="B84" s="118" t="s">
        <v>115</v>
      </c>
      <c r="C84" s="119" t="str">
        <f>_xlfn.DISPIMG("ID_3112AFC613414B91876D228C4AE833AC",1)</f>
        <v>=DISPIMG("ID_3112AFC613414B91876D228C4AE833AC",1)</v>
      </c>
      <c r="D84" s="118" t="s">
        <v>137</v>
      </c>
      <c r="E84" s="28">
        <v>110</v>
      </c>
      <c r="F84" s="38">
        <v>85</v>
      </c>
      <c r="G84" s="38">
        <v>75</v>
      </c>
      <c r="H84" s="38">
        <v>80</v>
      </c>
      <c r="I84" s="38">
        <v>92</v>
      </c>
      <c r="J84" s="38">
        <v>120</v>
      </c>
      <c r="K84" s="22">
        <v>562</v>
      </c>
      <c r="L84" s="120">
        <v>312</v>
      </c>
      <c r="M84" s="120">
        <v>220</v>
      </c>
      <c r="N84" s="121"/>
      <c r="O84" s="121"/>
      <c r="P84" s="121"/>
      <c r="Q84" s="121"/>
      <c r="R84" s="2"/>
      <c r="S84" s="2"/>
    </row>
    <row r="85" ht="87.7" customHeight="1" spans="1:19">
      <c r="A85" s="368">
        <v>502</v>
      </c>
      <c r="B85" s="368" t="s">
        <v>138</v>
      </c>
      <c r="C85" s="368" t="str">
        <f>_xlfn.DISPIMG("ID_68DA0510A68E4A43B0A0967FF55C35DB",1)</f>
        <v>=DISPIMG("ID_68DA0510A68E4A43B0A0967FF55C35DB",1)</v>
      </c>
      <c r="D85" s="369" t="s">
        <v>139</v>
      </c>
      <c r="E85" s="28">
        <v>98</v>
      </c>
      <c r="F85" s="38">
        <v>95</v>
      </c>
      <c r="G85" s="38">
        <v>120</v>
      </c>
      <c r="H85" s="38">
        <v>95</v>
      </c>
      <c r="I85" s="38">
        <v>92</v>
      </c>
      <c r="J85" s="38">
        <v>150</v>
      </c>
      <c r="K85" s="22">
        <v>650</v>
      </c>
      <c r="L85" s="370">
        <v>312</v>
      </c>
      <c r="M85" s="370">
        <v>220</v>
      </c>
      <c r="N85" s="371" t="s">
        <v>21</v>
      </c>
      <c r="O85" s="371"/>
      <c r="P85" s="371"/>
      <c r="Q85" s="371"/>
      <c r="R85" s="2"/>
      <c r="S85" s="2"/>
    </row>
    <row r="86" ht="87.7" customHeight="1" spans="1:19">
      <c r="A86" s="186">
        <v>82</v>
      </c>
      <c r="B86" s="372" t="s">
        <v>45</v>
      </c>
      <c r="C86" s="187" t="str">
        <f>_xlfn.DISPIMG("ID_CF629DB276FB48C8B5A013733A77474D",1)</f>
        <v>=DISPIMG("ID_CF629DB276FB48C8B5A013733A77474D",1)</v>
      </c>
      <c r="D86" s="186" t="s">
        <v>140</v>
      </c>
      <c r="E86" s="28">
        <v>100</v>
      </c>
      <c r="F86" s="38">
        <v>82</v>
      </c>
      <c r="G86" s="38">
        <v>106</v>
      </c>
      <c r="H86" s="38">
        <v>80</v>
      </c>
      <c r="I86" s="38">
        <v>91</v>
      </c>
      <c r="J86" s="38">
        <v>84</v>
      </c>
      <c r="K86" s="22">
        <v>543</v>
      </c>
      <c r="L86" s="188">
        <v>309</v>
      </c>
      <c r="M86" s="188">
        <v>218</v>
      </c>
      <c r="N86" s="189" t="s">
        <v>21</v>
      </c>
      <c r="O86" s="189"/>
      <c r="P86" s="189"/>
      <c r="Q86" s="189"/>
      <c r="R86" s="2"/>
      <c r="S86" s="2"/>
    </row>
    <row r="87" ht="87.7" customHeight="1" spans="1:19">
      <c r="A87" s="101">
        <v>197</v>
      </c>
      <c r="B87" s="101" t="s">
        <v>86</v>
      </c>
      <c r="C87" s="102" t="str">
        <f>_xlfn.DISPIMG("ID_E9475E3C6483453A8699B0369202199E",1)</f>
        <v>=DISPIMG("ID_E9475E3C6483453A8699B0369202199E",1)</v>
      </c>
      <c r="D87" s="101" t="s">
        <v>141</v>
      </c>
      <c r="E87" s="28">
        <v>93</v>
      </c>
      <c r="F87" s="38">
        <v>72</v>
      </c>
      <c r="G87" s="38">
        <v>108</v>
      </c>
      <c r="H87" s="38">
        <v>79</v>
      </c>
      <c r="I87" s="38">
        <v>91</v>
      </c>
      <c r="J87" s="38">
        <v>92</v>
      </c>
      <c r="K87" s="22">
        <v>535</v>
      </c>
      <c r="L87" s="103">
        <v>309</v>
      </c>
      <c r="M87" s="103">
        <v>218</v>
      </c>
      <c r="N87" s="104"/>
      <c r="O87" s="104"/>
      <c r="P87" s="104"/>
      <c r="Q87" s="104"/>
      <c r="R87" s="2"/>
      <c r="S87" s="2"/>
    </row>
    <row r="88" ht="87.7" customHeight="1" spans="1:19">
      <c r="A88" s="105">
        <v>222</v>
      </c>
      <c r="B88" s="105" t="s">
        <v>52</v>
      </c>
      <c r="C88" s="113" t="str">
        <f>_xlfn.DISPIMG("ID_D99833A361C44B659B909031E3939B21",1)</f>
        <v>=DISPIMG("ID_D99833A361C44B659B909031E3939B21",1)</v>
      </c>
      <c r="D88" s="105" t="s">
        <v>142</v>
      </c>
      <c r="E88" s="28">
        <v>89</v>
      </c>
      <c r="F88" s="38">
        <v>82</v>
      </c>
      <c r="G88" s="38">
        <v>106</v>
      </c>
      <c r="H88" s="38">
        <v>84</v>
      </c>
      <c r="I88" s="38">
        <v>91</v>
      </c>
      <c r="J88" s="38">
        <v>103</v>
      </c>
      <c r="K88" s="22">
        <v>555</v>
      </c>
      <c r="L88" s="107">
        <v>309</v>
      </c>
      <c r="M88" s="107">
        <v>218</v>
      </c>
      <c r="N88" s="108" t="s">
        <v>21</v>
      </c>
      <c r="O88" s="108"/>
      <c r="P88" s="108"/>
      <c r="Q88" s="108"/>
      <c r="R88" s="2"/>
      <c r="S88" s="2"/>
    </row>
    <row r="89" ht="87.7" customHeight="1" spans="1:19">
      <c r="A89" s="55">
        <v>337</v>
      </c>
      <c r="B89" s="55" t="s">
        <v>28</v>
      </c>
      <c r="C89" s="56" t="str">
        <f>_xlfn.DISPIMG("ID_A8412B5E3AF04AA8B5AF44F5325EB1EB",1)</f>
        <v>=DISPIMG("ID_A8412B5E3AF04AA8B5AF44F5325EB1EB",1)</v>
      </c>
      <c r="D89" s="55" t="s">
        <v>143</v>
      </c>
      <c r="E89" s="28">
        <v>106</v>
      </c>
      <c r="F89" s="38">
        <v>78</v>
      </c>
      <c r="G89" s="38">
        <v>77</v>
      </c>
      <c r="H89" s="38">
        <v>99</v>
      </c>
      <c r="I89" s="38">
        <v>91</v>
      </c>
      <c r="J89" s="38">
        <v>107</v>
      </c>
      <c r="K89" s="22">
        <v>558</v>
      </c>
      <c r="L89" s="57">
        <v>309</v>
      </c>
      <c r="M89" s="57">
        <v>218</v>
      </c>
      <c r="N89" s="59" t="s">
        <v>21</v>
      </c>
      <c r="O89" s="59"/>
      <c r="P89" s="59"/>
      <c r="Q89" s="59"/>
      <c r="R89" s="2"/>
      <c r="S89" s="2"/>
    </row>
    <row r="90" ht="87.7" customHeight="1" spans="1:19">
      <c r="A90" s="109">
        <v>350</v>
      </c>
      <c r="B90" s="109" t="s">
        <v>71</v>
      </c>
      <c r="C90" s="110" t="str">
        <f>_xlfn.DISPIMG("ID_CF02AEB60F1C4AB2A54B32FD7D1DD601",1)</f>
        <v>=DISPIMG("ID_CF02AEB60F1C4AB2A54B32FD7D1DD601",1)</v>
      </c>
      <c r="D90" s="109" t="s">
        <v>144</v>
      </c>
      <c r="E90" s="28">
        <v>118</v>
      </c>
      <c r="F90" s="38">
        <v>91</v>
      </c>
      <c r="G90" s="38">
        <v>95</v>
      </c>
      <c r="H90" s="38">
        <v>85</v>
      </c>
      <c r="I90" s="38">
        <v>91</v>
      </c>
      <c r="J90" s="38">
        <v>110</v>
      </c>
      <c r="K90" s="22">
        <v>590</v>
      </c>
      <c r="L90" s="111">
        <v>309</v>
      </c>
      <c r="M90" s="111">
        <v>218</v>
      </c>
      <c r="N90" s="112"/>
      <c r="O90" s="112"/>
      <c r="P90" s="112"/>
      <c r="Q90" s="112"/>
      <c r="R90" s="2"/>
      <c r="S90" s="2"/>
    </row>
    <row r="91" ht="87.7" customHeight="1" spans="1:19">
      <c r="A91" s="72">
        <v>363</v>
      </c>
      <c r="B91" s="72" t="s">
        <v>45</v>
      </c>
      <c r="C91" s="73" t="str">
        <f>_xlfn.DISPIMG("ID_FCD475DCBB1D481C9F867D52CFD3F9C7",1)</f>
        <v>=DISPIMG("ID_FCD475DCBB1D481C9F867D52CFD3F9C7",1)</v>
      </c>
      <c r="D91" s="155" t="s">
        <v>145</v>
      </c>
      <c r="E91" s="28">
        <v>85</v>
      </c>
      <c r="F91" s="38">
        <v>87</v>
      </c>
      <c r="G91" s="38">
        <v>102</v>
      </c>
      <c r="H91" s="38">
        <v>83</v>
      </c>
      <c r="I91" s="38">
        <v>91</v>
      </c>
      <c r="J91" s="38">
        <v>105</v>
      </c>
      <c r="K91" s="22">
        <v>553</v>
      </c>
      <c r="L91" s="74">
        <v>309</v>
      </c>
      <c r="M91" s="74">
        <v>218</v>
      </c>
      <c r="N91" s="75" t="s">
        <v>21</v>
      </c>
      <c r="O91" s="75"/>
      <c r="P91" s="75"/>
      <c r="Q91" s="75"/>
      <c r="R91" s="2"/>
      <c r="S91" s="2"/>
    </row>
    <row r="92" ht="87.7" customHeight="1" spans="1:19">
      <c r="A92" s="49">
        <v>470</v>
      </c>
      <c r="B92" s="49" t="s">
        <v>57</v>
      </c>
      <c r="C92" s="50" t="str">
        <f>_xlfn.DISPIMG("ID_4942549C9AEE4B5AADAC108D42C650F2",1)</f>
        <v>=DISPIMG("ID_4942549C9AEE4B5AADAC108D42C650F2",1)</v>
      </c>
      <c r="D92" s="49" t="s">
        <v>146</v>
      </c>
      <c r="E92" s="28">
        <v>85</v>
      </c>
      <c r="F92" s="38">
        <v>84</v>
      </c>
      <c r="G92" s="38">
        <v>110</v>
      </c>
      <c r="H92" s="38">
        <v>85</v>
      </c>
      <c r="I92" s="38">
        <v>91</v>
      </c>
      <c r="J92" s="38">
        <v>115</v>
      </c>
      <c r="K92" s="22">
        <v>570</v>
      </c>
      <c r="L92" s="52">
        <v>309</v>
      </c>
      <c r="M92" s="52">
        <v>218</v>
      </c>
      <c r="N92" s="54" t="s">
        <v>21</v>
      </c>
      <c r="O92" s="54"/>
      <c r="P92" s="54"/>
      <c r="Q92" s="54"/>
      <c r="R92" s="2"/>
      <c r="S92" s="2"/>
    </row>
    <row r="93" ht="87.7" customHeight="1" spans="1:19">
      <c r="A93" s="204">
        <v>475</v>
      </c>
      <c r="B93" s="204" t="s">
        <v>147</v>
      </c>
      <c r="C93" s="205" t="str">
        <f>_xlfn.DISPIMG("ID_57E4D22812E54AB08B246B125EBFA578",1)</f>
        <v>=DISPIMG("ID_57E4D22812E54AB08B246B125EBFA578",1)</v>
      </c>
      <c r="D93" s="206" t="s">
        <v>148</v>
      </c>
      <c r="E93" s="28">
        <v>101</v>
      </c>
      <c r="F93" s="38">
        <v>78</v>
      </c>
      <c r="G93" s="38">
        <v>108</v>
      </c>
      <c r="H93" s="38">
        <v>85</v>
      </c>
      <c r="I93" s="38">
        <v>91</v>
      </c>
      <c r="J93" s="38">
        <v>105</v>
      </c>
      <c r="K93" s="22">
        <v>568</v>
      </c>
      <c r="L93" s="207">
        <v>309</v>
      </c>
      <c r="M93" s="207">
        <v>218</v>
      </c>
      <c r="N93" s="208"/>
      <c r="O93" s="208"/>
      <c r="P93" s="208"/>
      <c r="Q93" s="208" t="s">
        <v>21</v>
      </c>
      <c r="R93" s="2"/>
      <c r="S93" s="2"/>
    </row>
    <row r="94" ht="87.7" customHeight="1" spans="1:19">
      <c r="A94" s="373">
        <v>481</v>
      </c>
      <c r="B94" s="373" t="s">
        <v>90</v>
      </c>
      <c r="C94" s="374" t="str">
        <f>_xlfn.DISPIMG("ID_AF277631D28A49AF990B0127C65FC099",1)</f>
        <v>=DISPIMG("ID_AF277631D28A49AF990B0127C65FC099",1)</v>
      </c>
      <c r="D94" s="373" t="s">
        <v>149</v>
      </c>
      <c r="E94" s="28">
        <v>83</v>
      </c>
      <c r="F94" s="38">
        <v>81</v>
      </c>
      <c r="G94" s="38">
        <v>106</v>
      </c>
      <c r="H94" s="38">
        <v>82</v>
      </c>
      <c r="I94" s="38">
        <v>91</v>
      </c>
      <c r="J94" s="38">
        <v>118</v>
      </c>
      <c r="K94" s="22">
        <v>561</v>
      </c>
      <c r="L94" s="375">
        <v>309</v>
      </c>
      <c r="M94" s="375">
        <v>218</v>
      </c>
      <c r="N94" s="376" t="s">
        <v>21</v>
      </c>
      <c r="O94" s="376"/>
      <c r="P94" s="376"/>
      <c r="Q94" s="376"/>
      <c r="R94" s="2"/>
      <c r="S94" s="2"/>
    </row>
    <row r="95" ht="87.7" customHeight="1" spans="1:19">
      <c r="A95" s="141">
        <v>493</v>
      </c>
      <c r="B95" s="141" t="s">
        <v>150</v>
      </c>
      <c r="C95" s="142" t="str">
        <f>_xlfn.DISPIMG("ID_5FBC650468B44D71A00A1B4A00201ED0",1)</f>
        <v>=DISPIMG("ID_5FBC650468B44D71A00A1B4A00201ED0",1)</v>
      </c>
      <c r="D95" s="143" t="s">
        <v>151</v>
      </c>
      <c r="E95" s="28">
        <v>105</v>
      </c>
      <c r="F95" s="38">
        <v>78</v>
      </c>
      <c r="G95" s="38">
        <v>108</v>
      </c>
      <c r="H95" s="38">
        <v>88</v>
      </c>
      <c r="I95" s="38">
        <v>91</v>
      </c>
      <c r="J95" s="38">
        <v>110</v>
      </c>
      <c r="K95" s="22">
        <v>580</v>
      </c>
      <c r="L95" s="144">
        <v>309</v>
      </c>
      <c r="M95" s="144">
        <v>218</v>
      </c>
      <c r="N95" s="145"/>
      <c r="O95" s="145"/>
      <c r="P95" s="145"/>
      <c r="Q95" s="145"/>
      <c r="R95" s="2"/>
      <c r="S95" s="2"/>
    </row>
    <row r="96" ht="87.7" customHeight="1" spans="1:19">
      <c r="A96" s="72">
        <v>101</v>
      </c>
      <c r="B96" s="72" t="s">
        <v>45</v>
      </c>
      <c r="C96" s="73" t="str">
        <f>_xlfn.DISPIMG("ID_FB513B231A004D8EBADC1EF4F92A1DDB",1)</f>
        <v>=DISPIMG("ID_FB513B231A004D8EBADC1EF4F92A1DDB",1)</v>
      </c>
      <c r="D96" s="72" t="s">
        <v>152</v>
      </c>
      <c r="E96" s="28">
        <v>101</v>
      </c>
      <c r="F96" s="38">
        <v>93</v>
      </c>
      <c r="G96" s="38">
        <v>90</v>
      </c>
      <c r="H96" s="38">
        <v>82</v>
      </c>
      <c r="I96" s="38">
        <v>90</v>
      </c>
      <c r="J96" s="38">
        <v>88</v>
      </c>
      <c r="K96" s="22">
        <v>544</v>
      </c>
      <c r="L96" s="74">
        <v>307</v>
      </c>
      <c r="M96" s="74">
        <v>216</v>
      </c>
      <c r="N96" s="75" t="s">
        <v>21</v>
      </c>
      <c r="O96" s="75"/>
      <c r="P96" s="75"/>
      <c r="Q96" s="75"/>
      <c r="R96" s="2"/>
      <c r="S96" s="2"/>
    </row>
    <row r="97" ht="87.7" customHeight="1" spans="1:19">
      <c r="A97" s="160">
        <v>132</v>
      </c>
      <c r="B97" s="160" t="s">
        <v>90</v>
      </c>
      <c r="C97" s="161" t="str">
        <f>_xlfn.DISPIMG("ID_A71C86386F69481BA2B39A37FD8C53AB",1)</f>
        <v>=DISPIMG("ID_A71C86386F69481BA2B39A37FD8C53AB",1)</v>
      </c>
      <c r="D97" s="377" t="s">
        <v>153</v>
      </c>
      <c r="E97" s="28">
        <v>91</v>
      </c>
      <c r="F97" s="38">
        <v>76</v>
      </c>
      <c r="G97" s="38">
        <v>115</v>
      </c>
      <c r="H97" s="38">
        <v>83</v>
      </c>
      <c r="I97" s="38">
        <v>90</v>
      </c>
      <c r="J97" s="38">
        <v>95</v>
      </c>
      <c r="K97" s="22">
        <v>550</v>
      </c>
      <c r="L97" s="162">
        <v>307</v>
      </c>
      <c r="M97" s="162">
        <v>216</v>
      </c>
      <c r="N97" s="163"/>
      <c r="O97" s="163"/>
      <c r="P97" s="163"/>
      <c r="Q97" s="163"/>
      <c r="R97" s="2"/>
      <c r="S97" s="2"/>
    </row>
    <row r="98" ht="87.7" customHeight="1" spans="1:19">
      <c r="A98" s="101">
        <v>264</v>
      </c>
      <c r="B98" s="101" t="s">
        <v>86</v>
      </c>
      <c r="C98" s="102" t="str">
        <f>_xlfn.DISPIMG("ID_B02D8377A29B4223A725ACC3F7D2413D",1)</f>
        <v>=DISPIMG("ID_B02D8377A29B4223A725ACC3F7D2413D",1)</v>
      </c>
      <c r="D98" s="101" t="s">
        <v>154</v>
      </c>
      <c r="E98" s="28">
        <v>105</v>
      </c>
      <c r="F98" s="38">
        <v>80</v>
      </c>
      <c r="G98" s="38">
        <v>120</v>
      </c>
      <c r="H98" s="38">
        <v>85</v>
      </c>
      <c r="I98" s="38">
        <v>90</v>
      </c>
      <c r="J98" s="38">
        <v>110</v>
      </c>
      <c r="K98" s="22">
        <v>590</v>
      </c>
      <c r="L98" s="103">
        <v>307</v>
      </c>
      <c r="M98" s="103">
        <v>216</v>
      </c>
      <c r="N98" s="104" t="s">
        <v>21</v>
      </c>
      <c r="O98" s="104"/>
      <c r="P98" s="104"/>
      <c r="Q98" s="104"/>
      <c r="R98" s="2"/>
      <c r="S98" s="2"/>
    </row>
    <row r="99" ht="87.7" customHeight="1" spans="1:19">
      <c r="A99" s="378">
        <v>290</v>
      </c>
      <c r="B99" s="378" t="s">
        <v>38</v>
      </c>
      <c r="C99" s="379" t="str">
        <f>_xlfn.DISPIMG("ID_543094593EC644E7A7E991EF5B19103F",1)</f>
        <v>=DISPIMG("ID_543094593EC644E7A7E991EF5B19103F",1)</v>
      </c>
      <c r="D99" s="378" t="s">
        <v>155</v>
      </c>
      <c r="E99" s="28">
        <v>86</v>
      </c>
      <c r="F99" s="38">
        <v>78</v>
      </c>
      <c r="G99" s="38">
        <v>108</v>
      </c>
      <c r="H99" s="38">
        <v>98</v>
      </c>
      <c r="I99" s="38">
        <v>90</v>
      </c>
      <c r="J99" s="38">
        <v>100</v>
      </c>
      <c r="K99" s="22">
        <v>560</v>
      </c>
      <c r="L99" s="380">
        <v>307</v>
      </c>
      <c r="M99" s="380">
        <v>216</v>
      </c>
      <c r="N99" s="381" t="s">
        <v>21</v>
      </c>
      <c r="O99" s="381"/>
      <c r="P99" s="381" t="s">
        <v>21</v>
      </c>
      <c r="Q99" s="381"/>
      <c r="R99" s="2"/>
      <c r="S99" s="2"/>
    </row>
    <row r="100" ht="87.7" customHeight="1" spans="1:19">
      <c r="A100" s="118">
        <v>299</v>
      </c>
      <c r="B100" s="118" t="s">
        <v>115</v>
      </c>
      <c r="C100" s="119" t="str">
        <f>_xlfn.DISPIMG("ID_3BC29684F79C42D7A3D2E3A4C7027E6F",1)</f>
        <v>=DISPIMG("ID_3BC29684F79C42D7A3D2E3A4C7027E6F",1)</v>
      </c>
      <c r="D100" s="118" t="s">
        <v>156</v>
      </c>
      <c r="E100" s="28">
        <v>120</v>
      </c>
      <c r="F100" s="38">
        <v>100</v>
      </c>
      <c r="G100" s="38">
        <v>70</v>
      </c>
      <c r="H100" s="38">
        <v>90</v>
      </c>
      <c r="I100" s="38">
        <v>90</v>
      </c>
      <c r="J100" s="38">
        <v>130</v>
      </c>
      <c r="K100" s="22">
        <v>600</v>
      </c>
      <c r="L100" s="120">
        <v>307</v>
      </c>
      <c r="M100" s="120">
        <v>216</v>
      </c>
      <c r="N100" s="121"/>
      <c r="O100" s="121"/>
      <c r="P100" s="121"/>
      <c r="Q100" s="121"/>
      <c r="R100" s="2"/>
      <c r="S100" s="2"/>
    </row>
    <row r="101" ht="87.7" customHeight="1" spans="1:19">
      <c r="A101" s="64">
        <v>347</v>
      </c>
      <c r="B101" s="64" t="s">
        <v>38</v>
      </c>
      <c r="C101" s="65" t="str">
        <f>_xlfn.DISPIMG("ID_F816899F7FF04ABB8A0D11ADA6682AE9",1)</f>
        <v>=DISPIMG("ID_F816899F7FF04ABB8A0D11ADA6682AE9",1)</v>
      </c>
      <c r="D101" s="64" t="s">
        <v>157</v>
      </c>
      <c r="E101" s="28">
        <v>100</v>
      </c>
      <c r="F101" s="38">
        <v>73</v>
      </c>
      <c r="G101" s="38">
        <v>117</v>
      </c>
      <c r="H101" s="38">
        <v>95</v>
      </c>
      <c r="I101" s="38">
        <v>90</v>
      </c>
      <c r="J101" s="38">
        <v>125</v>
      </c>
      <c r="K101" s="22">
        <v>600</v>
      </c>
      <c r="L101" s="66">
        <v>307</v>
      </c>
      <c r="M101" s="66">
        <v>216</v>
      </c>
      <c r="N101" s="67" t="s">
        <v>21</v>
      </c>
      <c r="O101" s="67"/>
      <c r="P101" s="67"/>
      <c r="Q101" s="67"/>
      <c r="R101" s="2"/>
      <c r="S101" s="2"/>
    </row>
    <row r="102" ht="87.7" customHeight="1" spans="1:19">
      <c r="A102" s="64">
        <v>359</v>
      </c>
      <c r="B102" s="64" t="s">
        <v>38</v>
      </c>
      <c r="C102" s="65" t="str">
        <f>_xlfn.DISPIMG("ID_249AC7C551334F70B601CBACD86D774C",1)</f>
        <v>=DISPIMG("ID_249AC7C551334F70B601CBACD86D774C",1)</v>
      </c>
      <c r="D102" s="64" t="s">
        <v>158</v>
      </c>
      <c r="E102" s="28">
        <v>118</v>
      </c>
      <c r="F102" s="38">
        <v>94</v>
      </c>
      <c r="G102" s="38">
        <v>98</v>
      </c>
      <c r="H102" s="38">
        <v>82</v>
      </c>
      <c r="I102" s="38">
        <v>90</v>
      </c>
      <c r="J102" s="38">
        <v>110</v>
      </c>
      <c r="K102" s="22">
        <v>592</v>
      </c>
      <c r="L102" s="66">
        <v>307</v>
      </c>
      <c r="M102" s="66">
        <v>216</v>
      </c>
      <c r="N102" s="67"/>
      <c r="O102" s="67"/>
      <c r="P102" s="67"/>
      <c r="Q102" s="67"/>
      <c r="R102" s="2"/>
      <c r="S102" s="2"/>
    </row>
    <row r="103" ht="87.7" customHeight="1" spans="1:19">
      <c r="A103" s="169">
        <v>386</v>
      </c>
      <c r="B103" s="169" t="s">
        <v>55</v>
      </c>
      <c r="C103" s="170" t="str">
        <f>_xlfn.DISPIMG("ID_58A1BC6ABFB041598F325050E5AC840A",1)</f>
        <v>=DISPIMG("ID_58A1BC6ABFB041598F325050E5AC840A",1)</v>
      </c>
      <c r="D103" s="169" t="s">
        <v>159</v>
      </c>
      <c r="E103" s="28">
        <v>115</v>
      </c>
      <c r="F103" s="38">
        <v>90</v>
      </c>
      <c r="G103" s="38">
        <v>90</v>
      </c>
      <c r="H103" s="38">
        <v>75</v>
      </c>
      <c r="I103" s="38">
        <v>90</v>
      </c>
      <c r="J103" s="38">
        <v>115</v>
      </c>
      <c r="K103" s="22">
        <v>575</v>
      </c>
      <c r="L103" s="171">
        <v>307</v>
      </c>
      <c r="M103" s="171">
        <v>216</v>
      </c>
      <c r="N103" s="172"/>
      <c r="O103" s="172"/>
      <c r="P103" s="172"/>
      <c r="Q103" s="172"/>
      <c r="R103" s="2"/>
      <c r="S103" s="2"/>
    </row>
    <row r="104" ht="87.7" customHeight="1" spans="1:19">
      <c r="A104" s="55">
        <v>393</v>
      </c>
      <c r="B104" s="55" t="s">
        <v>28</v>
      </c>
      <c r="C104" s="56" t="str">
        <f>_xlfn.DISPIMG("ID_06A25767795B4E3B8B5F925145543D71",1)</f>
        <v>=DISPIMG("ID_06A25767795B4E3B8B5F925145543D71",1)</v>
      </c>
      <c r="D104" s="55" t="s">
        <v>160</v>
      </c>
      <c r="E104" s="28">
        <v>118</v>
      </c>
      <c r="F104" s="38">
        <v>95</v>
      </c>
      <c r="G104" s="38">
        <v>102</v>
      </c>
      <c r="H104" s="38">
        <v>75</v>
      </c>
      <c r="I104" s="38">
        <v>90</v>
      </c>
      <c r="J104" s="38">
        <v>120</v>
      </c>
      <c r="K104" s="22">
        <v>600</v>
      </c>
      <c r="L104" s="57">
        <v>307</v>
      </c>
      <c r="M104" s="57">
        <v>216</v>
      </c>
      <c r="N104" s="59" t="s">
        <v>21</v>
      </c>
      <c r="O104" s="59"/>
      <c r="P104" s="59"/>
      <c r="Q104" s="59"/>
      <c r="R104" s="2"/>
      <c r="S104" s="2"/>
    </row>
    <row r="105" ht="87.7" customHeight="1" spans="1:19">
      <c r="A105" s="16">
        <v>403</v>
      </c>
      <c r="B105" s="16" t="s">
        <v>17</v>
      </c>
      <c r="C105" s="18" t="str">
        <f>_xlfn.DISPIMG("ID_4BFDE43A80124CC6A9839F55A8035159",1)</f>
        <v>=DISPIMG("ID_4BFDE43A80124CC6A9839F55A8035159",1)</v>
      </c>
      <c r="D105" s="16" t="s">
        <v>161</v>
      </c>
      <c r="E105" s="28">
        <v>120</v>
      </c>
      <c r="F105" s="38">
        <v>95</v>
      </c>
      <c r="G105" s="38">
        <v>77</v>
      </c>
      <c r="H105" s="38">
        <v>77</v>
      </c>
      <c r="I105" s="38">
        <v>90</v>
      </c>
      <c r="J105" s="38">
        <v>125</v>
      </c>
      <c r="K105" s="22">
        <v>584</v>
      </c>
      <c r="L105" s="23">
        <v>307</v>
      </c>
      <c r="M105" s="23">
        <v>216</v>
      </c>
      <c r="N105" s="24"/>
      <c r="O105" s="24"/>
      <c r="P105" s="24"/>
      <c r="Q105" s="24"/>
      <c r="R105" s="2"/>
      <c r="S105" s="2"/>
    </row>
    <row r="106" ht="87.7" customHeight="1" spans="1:19">
      <c r="A106" s="45">
        <v>501</v>
      </c>
      <c r="B106" s="45" t="s">
        <v>162</v>
      </c>
      <c r="C106" s="46" t="str">
        <f>_xlfn.DISPIMG("ID_1C2B6DE0551341778574DBDB9B502A36",1)</f>
        <v>=DISPIMG("ID_1C2B6DE0551341778574DBDB9B502A36",1)</v>
      </c>
      <c r="D106" s="45" t="s">
        <v>163</v>
      </c>
      <c r="E106" s="28">
        <v>100</v>
      </c>
      <c r="F106" s="38">
        <v>120</v>
      </c>
      <c r="G106" s="38">
        <v>95</v>
      </c>
      <c r="H106" s="38">
        <v>120</v>
      </c>
      <c r="I106" s="38">
        <v>90</v>
      </c>
      <c r="J106" s="38">
        <v>125</v>
      </c>
      <c r="K106" s="22">
        <v>650</v>
      </c>
      <c r="L106" s="47">
        <v>307</v>
      </c>
      <c r="M106" s="47">
        <v>216</v>
      </c>
      <c r="N106" s="48"/>
      <c r="O106" s="48"/>
      <c r="P106" s="48"/>
      <c r="Q106" s="48"/>
      <c r="R106" s="2"/>
      <c r="S106" s="2"/>
    </row>
    <row r="107" ht="87.7" customHeight="1" spans="1:19">
      <c r="A107" s="214">
        <v>187</v>
      </c>
      <c r="B107" s="214" t="s">
        <v>71</v>
      </c>
      <c r="C107" s="215" t="str">
        <f>_xlfn.DISPIMG("ID_D5FE888FA0B848609502038DE74EF625",1)</f>
        <v>=DISPIMG("ID_D5FE888FA0B848609502038DE74EF625",1)</v>
      </c>
      <c r="D107" s="214" t="s">
        <v>164</v>
      </c>
      <c r="E107" s="28">
        <v>80</v>
      </c>
      <c r="F107" s="38">
        <v>70</v>
      </c>
      <c r="G107" s="38">
        <v>75</v>
      </c>
      <c r="H107" s="38">
        <v>70</v>
      </c>
      <c r="I107" s="38">
        <v>88</v>
      </c>
      <c r="J107" s="38">
        <v>135</v>
      </c>
      <c r="K107" s="22">
        <v>518</v>
      </c>
      <c r="L107" s="216">
        <v>303</v>
      </c>
      <c r="M107" s="216">
        <v>212</v>
      </c>
      <c r="N107" s="217" t="s">
        <v>21</v>
      </c>
      <c r="O107" s="217"/>
      <c r="P107" s="217"/>
      <c r="Q107" s="217" t="s">
        <v>21</v>
      </c>
      <c r="R107" s="2"/>
      <c r="S107" s="2"/>
    </row>
    <row r="108" ht="87.7" customHeight="1" spans="1:19">
      <c r="A108" s="296">
        <v>367</v>
      </c>
      <c r="B108" s="296" t="s">
        <v>38</v>
      </c>
      <c r="C108" s="298" t="str">
        <f>_xlfn.DISPIMG("ID_469F8653269C4CB9A2CBBBB0E03C45D1",1)</f>
        <v>=DISPIMG("ID_469F8653269C4CB9A2CBBBB0E03C45D1",1)</v>
      </c>
      <c r="D108" s="296" t="s">
        <v>165</v>
      </c>
      <c r="E108" s="28">
        <v>82</v>
      </c>
      <c r="F108" s="38">
        <v>85</v>
      </c>
      <c r="G108" s="38">
        <v>102</v>
      </c>
      <c r="H108" s="38">
        <v>90</v>
      </c>
      <c r="I108" s="38">
        <v>88</v>
      </c>
      <c r="J108" s="38">
        <v>118</v>
      </c>
      <c r="K108" s="22">
        <v>565</v>
      </c>
      <c r="L108" s="299">
        <v>303</v>
      </c>
      <c r="M108" s="299">
        <v>212</v>
      </c>
      <c r="N108" s="300"/>
      <c r="O108" s="300"/>
      <c r="P108" s="300"/>
      <c r="Q108" s="300"/>
      <c r="R108" s="2"/>
      <c r="S108" s="2"/>
    </row>
    <row r="109" ht="87.7" customHeight="1" spans="1:19">
      <c r="A109" s="123">
        <v>372</v>
      </c>
      <c r="B109" s="123" t="s">
        <v>41</v>
      </c>
      <c r="C109" s="124" t="str">
        <f>_xlfn.DISPIMG("ID_6E7692EB4F5847E8B28A106C5F2907F5",1)</f>
        <v>=DISPIMG("ID_6E7692EB4F5847E8B28A106C5F2907F5",1)</v>
      </c>
      <c r="D109" s="123" t="s">
        <v>166</v>
      </c>
      <c r="E109" s="28">
        <v>90</v>
      </c>
      <c r="F109" s="38">
        <v>92</v>
      </c>
      <c r="G109" s="38">
        <v>102</v>
      </c>
      <c r="H109" s="38">
        <v>84</v>
      </c>
      <c r="I109" s="38">
        <v>88</v>
      </c>
      <c r="J109" s="38">
        <v>115</v>
      </c>
      <c r="K109" s="22">
        <v>571</v>
      </c>
      <c r="L109" s="125">
        <v>303</v>
      </c>
      <c r="M109" s="125">
        <v>212</v>
      </c>
      <c r="N109" s="126" t="s">
        <v>21</v>
      </c>
      <c r="O109" s="126"/>
      <c r="P109" s="126" t="s">
        <v>21</v>
      </c>
      <c r="Q109" s="126"/>
      <c r="R109" s="2"/>
      <c r="S109" s="2"/>
    </row>
    <row r="110" ht="87.7" customHeight="1" spans="1:19">
      <c r="A110" s="109">
        <v>207</v>
      </c>
      <c r="B110" s="109" t="s">
        <v>71</v>
      </c>
      <c r="C110" s="110" t="str">
        <f>_xlfn.DISPIMG("ID_3130C77D964746AE994D1506EE1E504A",1)</f>
        <v>=DISPIMG("ID_3130C77D964746AE994D1506EE1E504A",1)</v>
      </c>
      <c r="D110" s="109" t="s">
        <v>167</v>
      </c>
      <c r="E110" s="28">
        <v>81</v>
      </c>
      <c r="F110" s="38">
        <v>83</v>
      </c>
      <c r="G110" s="38">
        <v>106</v>
      </c>
      <c r="H110" s="38">
        <v>82</v>
      </c>
      <c r="I110" s="38">
        <v>87</v>
      </c>
      <c r="J110" s="38">
        <v>85</v>
      </c>
      <c r="K110" s="22">
        <v>524</v>
      </c>
      <c r="L110" s="111">
        <v>301</v>
      </c>
      <c r="M110" s="111">
        <v>210</v>
      </c>
      <c r="N110" s="112"/>
      <c r="O110" s="112"/>
      <c r="P110" s="112"/>
      <c r="Q110" s="112" t="s">
        <v>21</v>
      </c>
      <c r="R110" s="2"/>
      <c r="S110" s="2"/>
    </row>
    <row r="111" ht="87.7" customHeight="1" spans="1:19">
      <c r="A111" s="60">
        <v>212</v>
      </c>
      <c r="B111" s="60" t="s">
        <v>125</v>
      </c>
      <c r="C111" s="61" t="str">
        <f>_xlfn.DISPIMG("ID_144F513254BA4111BFE3085F804C3863",1)</f>
        <v>=DISPIMG("ID_144F513254BA4111BFE3085F804C3863",1)</v>
      </c>
      <c r="D111" s="60" t="s">
        <v>168</v>
      </c>
      <c r="E111" s="28">
        <v>80</v>
      </c>
      <c r="F111" s="38">
        <v>88</v>
      </c>
      <c r="G111" s="38">
        <v>100</v>
      </c>
      <c r="H111" s="38">
        <v>94</v>
      </c>
      <c r="I111" s="38">
        <v>87</v>
      </c>
      <c r="J111" s="38">
        <v>99</v>
      </c>
      <c r="K111" s="22">
        <v>548</v>
      </c>
      <c r="L111" s="62">
        <v>301</v>
      </c>
      <c r="M111" s="62">
        <v>210</v>
      </c>
      <c r="N111" s="63"/>
      <c r="O111" s="63"/>
      <c r="P111" s="63"/>
      <c r="Q111" s="63"/>
      <c r="R111" s="2"/>
      <c r="S111" s="2"/>
    </row>
    <row r="112" ht="87.7" customHeight="1" spans="1:19">
      <c r="A112" s="240">
        <v>218</v>
      </c>
      <c r="B112" s="240" t="s">
        <v>90</v>
      </c>
      <c r="C112" s="241" t="str">
        <f>_xlfn.DISPIMG("ID_830491BC2B814685AB761B9E8FB35AA6",1)</f>
        <v>=DISPIMG("ID_830491BC2B814685AB761B9E8FB35AA6",1)</v>
      </c>
      <c r="D112" s="240" t="s">
        <v>169</v>
      </c>
      <c r="E112" s="28">
        <v>88</v>
      </c>
      <c r="F112" s="38">
        <v>75</v>
      </c>
      <c r="G112" s="38">
        <v>120</v>
      </c>
      <c r="H112" s="38">
        <v>90</v>
      </c>
      <c r="I112" s="38">
        <v>87</v>
      </c>
      <c r="J112" s="38">
        <v>100</v>
      </c>
      <c r="K112" s="22">
        <v>560</v>
      </c>
      <c r="L112" s="242">
        <v>301</v>
      </c>
      <c r="M112" s="242">
        <v>210</v>
      </c>
      <c r="N112" s="243" t="s">
        <v>21</v>
      </c>
      <c r="O112" s="243"/>
      <c r="P112" s="243" t="s">
        <v>21</v>
      </c>
      <c r="Q112" s="243"/>
      <c r="R112" s="2"/>
      <c r="S112" s="2"/>
    </row>
    <row r="113" ht="87.7" customHeight="1" spans="1:19">
      <c r="A113" s="127">
        <v>50</v>
      </c>
      <c r="B113" s="382" t="s">
        <v>55</v>
      </c>
      <c r="C113" s="128" t="str">
        <f>_xlfn.DISPIMG("ID_3D452DCBDF46437FB4D729C2C2326EAD",1)</f>
        <v>=DISPIMG("ID_3D452DCBDF46437FB4D729C2C2326EAD",1)</v>
      </c>
      <c r="D113" s="382" t="s">
        <v>170</v>
      </c>
      <c r="E113" s="28">
        <v>101</v>
      </c>
      <c r="F113" s="38">
        <v>83</v>
      </c>
      <c r="G113" s="38">
        <v>120</v>
      </c>
      <c r="H113" s="38">
        <v>93</v>
      </c>
      <c r="I113" s="38">
        <v>86</v>
      </c>
      <c r="J113" s="38">
        <v>89</v>
      </c>
      <c r="K113" s="22">
        <v>572</v>
      </c>
      <c r="L113" s="129">
        <v>298</v>
      </c>
      <c r="M113" s="129">
        <v>208</v>
      </c>
      <c r="N113" s="130"/>
      <c r="O113" s="130"/>
      <c r="P113" s="130"/>
      <c r="Q113" s="130" t="s">
        <v>21</v>
      </c>
      <c r="R113" s="2"/>
      <c r="S113" s="2"/>
    </row>
    <row r="114" ht="105" customHeight="1" spans="1:19">
      <c r="A114" s="114">
        <v>242</v>
      </c>
      <c r="B114" s="114" t="s">
        <v>90</v>
      </c>
      <c r="C114" s="115" t="str">
        <f>_xlfn.DISPIMG("ID_6E527D7739E74746A4A837B75448EB4E",1)</f>
        <v>=DISPIMG("ID_6E527D7739E74746A4A837B75448EB4E",1)</v>
      </c>
      <c r="D114" s="114" t="s">
        <v>171</v>
      </c>
      <c r="E114" s="28">
        <v>77</v>
      </c>
      <c r="F114" s="38">
        <v>85</v>
      </c>
      <c r="G114" s="38">
        <v>101</v>
      </c>
      <c r="H114" s="38">
        <v>108</v>
      </c>
      <c r="I114" s="38">
        <v>86</v>
      </c>
      <c r="J114" s="38">
        <v>113</v>
      </c>
      <c r="K114" s="22">
        <v>570</v>
      </c>
      <c r="L114" s="116">
        <v>298</v>
      </c>
      <c r="M114" s="116">
        <v>208</v>
      </c>
      <c r="N114" s="117" t="s">
        <v>21</v>
      </c>
      <c r="O114" s="117"/>
      <c r="P114" s="117"/>
      <c r="Q114" s="117"/>
      <c r="R114" s="2"/>
      <c r="S114" s="2"/>
    </row>
    <row r="115" ht="87.7" customHeight="1" spans="1:19">
      <c r="A115" s="49">
        <v>274</v>
      </c>
      <c r="B115" s="49" t="s">
        <v>57</v>
      </c>
      <c r="C115" s="50" t="str">
        <f>_xlfn.DISPIMG("ID_FBB67C47E8DB4D98A7183027680846DE",1)</f>
        <v>=DISPIMG("ID_FBB67C47E8DB4D98A7183027680846DE",1)</v>
      </c>
      <c r="D115" s="49" t="s">
        <v>172</v>
      </c>
      <c r="E115" s="28">
        <v>120</v>
      </c>
      <c r="F115" s="38">
        <v>100</v>
      </c>
      <c r="G115" s="38">
        <v>95</v>
      </c>
      <c r="H115" s="38">
        <v>80</v>
      </c>
      <c r="I115" s="38">
        <v>86</v>
      </c>
      <c r="J115" s="38">
        <v>130</v>
      </c>
      <c r="K115" s="22">
        <v>611</v>
      </c>
      <c r="L115" s="52">
        <v>298</v>
      </c>
      <c r="M115" s="52">
        <v>208</v>
      </c>
      <c r="N115" s="54"/>
      <c r="O115" s="54"/>
      <c r="P115" s="54" t="s">
        <v>21</v>
      </c>
      <c r="Q115" s="54"/>
      <c r="R115" s="2"/>
      <c r="S115" s="2"/>
    </row>
    <row r="116" ht="87.7" customHeight="1" spans="1:19">
      <c r="A116" s="64">
        <v>306</v>
      </c>
      <c r="B116" s="64" t="s">
        <v>38</v>
      </c>
      <c r="C116" s="65" t="str">
        <f>_xlfn.DISPIMG("ID_DE9963195420409EB8250AF83F4942AB",1)</f>
        <v>=DISPIMG("ID_DE9963195420409EB8250AF83F4942AB",1)</v>
      </c>
      <c r="D116" s="64" t="s">
        <v>173</v>
      </c>
      <c r="E116" s="28">
        <v>120</v>
      </c>
      <c r="F116" s="38">
        <v>93</v>
      </c>
      <c r="G116" s="38">
        <v>95</v>
      </c>
      <c r="H116" s="38">
        <v>92</v>
      </c>
      <c r="I116" s="38">
        <v>86</v>
      </c>
      <c r="J116" s="38">
        <v>124</v>
      </c>
      <c r="K116" s="22">
        <v>610</v>
      </c>
      <c r="L116" s="66">
        <v>298</v>
      </c>
      <c r="M116" s="66">
        <v>208</v>
      </c>
      <c r="N116" s="67" t="s">
        <v>21</v>
      </c>
      <c r="O116" s="67"/>
      <c r="P116" s="67"/>
      <c r="Q116" s="67"/>
      <c r="R116" s="2"/>
      <c r="S116" s="2"/>
    </row>
    <row r="117" ht="87.7" customHeight="1" spans="1:19">
      <c r="A117" s="214">
        <v>384</v>
      </c>
      <c r="B117" s="214" t="s">
        <v>71</v>
      </c>
      <c r="C117" s="215" t="str">
        <f>_xlfn.DISPIMG("ID_CB9E9EE2A6644AEB9B7571D07B401835",1)</f>
        <v>=DISPIMG("ID_CB9E9EE2A6644AEB9B7571D07B401835",1)</v>
      </c>
      <c r="D117" s="214" t="s">
        <v>174</v>
      </c>
      <c r="E117" s="28">
        <v>102</v>
      </c>
      <c r="F117" s="38">
        <v>102</v>
      </c>
      <c r="G117" s="38">
        <v>85</v>
      </c>
      <c r="H117" s="38">
        <v>85</v>
      </c>
      <c r="I117" s="38">
        <v>86</v>
      </c>
      <c r="J117" s="38">
        <v>120</v>
      </c>
      <c r="K117" s="22">
        <v>580</v>
      </c>
      <c r="L117" s="216">
        <v>298</v>
      </c>
      <c r="M117" s="216">
        <v>208</v>
      </c>
      <c r="N117" s="217"/>
      <c r="O117" s="217" t="s">
        <v>21</v>
      </c>
      <c r="P117" s="217"/>
      <c r="Q117" s="217"/>
      <c r="R117" s="2"/>
      <c r="S117" s="2"/>
    </row>
    <row r="118" ht="87.7" customHeight="1" spans="1:19">
      <c r="A118" s="68">
        <v>483</v>
      </c>
      <c r="B118" s="68" t="s">
        <v>115</v>
      </c>
      <c r="C118" s="69" t="str">
        <f>_xlfn.DISPIMG("ID_870FDFF25EBA4D6B81D794B0B529F2A8",1)</f>
        <v>=DISPIMG("ID_870FDFF25EBA4D6B81D794B0B529F2A8",1)</v>
      </c>
      <c r="D118" s="68" t="s">
        <v>175</v>
      </c>
      <c r="E118" s="28">
        <v>101</v>
      </c>
      <c r="F118" s="38">
        <v>85</v>
      </c>
      <c r="G118" s="38">
        <v>70</v>
      </c>
      <c r="H118" s="38">
        <v>78</v>
      </c>
      <c r="I118" s="38">
        <v>86</v>
      </c>
      <c r="J118" s="38">
        <v>120</v>
      </c>
      <c r="K118" s="22">
        <v>540</v>
      </c>
      <c r="L118" s="70">
        <v>298</v>
      </c>
      <c r="M118" s="70">
        <v>208</v>
      </c>
      <c r="N118" s="71"/>
      <c r="O118" s="71"/>
      <c r="P118" s="71"/>
      <c r="Q118" s="71"/>
      <c r="R118" s="2"/>
      <c r="S118" s="2"/>
    </row>
    <row r="119" ht="87.7" customHeight="1" spans="1:19">
      <c r="A119" s="64">
        <v>76</v>
      </c>
      <c r="B119" s="383" t="s">
        <v>38</v>
      </c>
      <c r="C119" s="65" t="str">
        <f>_xlfn.DISPIMG("ID_839AA8D8C7504440B96D7513A8A6416B",1)</f>
        <v>=DISPIMG("ID_839AA8D8C7504440B96D7513A8A6416B",1)</v>
      </c>
      <c r="D119" s="383" t="s">
        <v>176</v>
      </c>
      <c r="E119" s="28">
        <v>110</v>
      </c>
      <c r="F119" s="38">
        <v>82</v>
      </c>
      <c r="G119" s="38">
        <v>98</v>
      </c>
      <c r="H119" s="38">
        <v>85</v>
      </c>
      <c r="I119" s="38">
        <v>85</v>
      </c>
      <c r="J119" s="38">
        <v>81</v>
      </c>
      <c r="K119" s="22">
        <v>541</v>
      </c>
      <c r="L119" s="66">
        <v>296</v>
      </c>
      <c r="M119" s="66">
        <v>206</v>
      </c>
      <c r="N119" s="67" t="s">
        <v>21</v>
      </c>
      <c r="O119" s="67"/>
      <c r="P119" s="67"/>
      <c r="Q119" s="67"/>
      <c r="R119" s="2"/>
      <c r="S119" s="2"/>
    </row>
    <row r="120" ht="87.7" customHeight="1" spans="1:19">
      <c r="A120" s="296">
        <v>110</v>
      </c>
      <c r="B120" s="296" t="s">
        <v>38</v>
      </c>
      <c r="C120" s="298" t="str">
        <f>_xlfn.DISPIMG("ID_31DBE026FA9D49CEB57862332A4F982A",1)</f>
        <v>=DISPIMG("ID_31DBE026FA9D49CEB57862332A4F982A",1)</v>
      </c>
      <c r="D120" s="296" t="s">
        <v>177</v>
      </c>
      <c r="E120" s="28">
        <v>84</v>
      </c>
      <c r="F120" s="38">
        <v>80</v>
      </c>
      <c r="G120" s="38">
        <v>116</v>
      </c>
      <c r="H120" s="38">
        <v>96</v>
      </c>
      <c r="I120" s="38">
        <v>85</v>
      </c>
      <c r="J120" s="38">
        <v>97</v>
      </c>
      <c r="K120" s="22">
        <v>558</v>
      </c>
      <c r="L120" s="299">
        <v>296</v>
      </c>
      <c r="M120" s="299">
        <v>206</v>
      </c>
      <c r="N120" s="300"/>
      <c r="O120" s="300"/>
      <c r="P120" s="300"/>
      <c r="Q120" s="300"/>
      <c r="R120" s="2"/>
      <c r="S120" s="2"/>
    </row>
    <row r="121" ht="87.7" customHeight="1" spans="1:19">
      <c r="A121" s="101">
        <v>140</v>
      </c>
      <c r="B121" s="101" t="s">
        <v>86</v>
      </c>
      <c r="C121" s="102" t="str">
        <f>_xlfn.DISPIMG("ID_4926D14734C34A489454D9FCAC661F10",1)</f>
        <v>=DISPIMG("ID_4926D14734C34A489454D9FCAC661F10",1)</v>
      </c>
      <c r="D121" s="101" t="s">
        <v>178</v>
      </c>
      <c r="E121" s="28">
        <v>95</v>
      </c>
      <c r="F121" s="38">
        <v>77</v>
      </c>
      <c r="G121" s="38">
        <v>110</v>
      </c>
      <c r="H121" s="38">
        <v>76</v>
      </c>
      <c r="I121" s="38">
        <v>85</v>
      </c>
      <c r="J121" s="38">
        <v>82</v>
      </c>
      <c r="K121" s="22">
        <v>525</v>
      </c>
      <c r="L121" s="103">
        <v>296</v>
      </c>
      <c r="M121" s="103">
        <v>206</v>
      </c>
      <c r="N121" s="104"/>
      <c r="O121" s="104"/>
      <c r="P121" s="104"/>
      <c r="Q121" s="104"/>
      <c r="R121" s="2"/>
      <c r="S121" s="2"/>
    </row>
    <row r="122" ht="87.7" customHeight="1" spans="1:19">
      <c r="A122" s="97">
        <v>185</v>
      </c>
      <c r="B122" s="97" t="s">
        <v>71</v>
      </c>
      <c r="C122" s="98" t="str">
        <f>_xlfn.DISPIMG("ID_EBCEF8C0B50D493699168A5AE0E89CC3",1)</f>
        <v>=DISPIMG("ID_EBCEF8C0B50D493699168A5AE0E89CC3",1)</v>
      </c>
      <c r="D122" s="97" t="s">
        <v>179</v>
      </c>
      <c r="E122" s="28">
        <v>85</v>
      </c>
      <c r="F122" s="38">
        <v>78</v>
      </c>
      <c r="G122" s="38">
        <v>105</v>
      </c>
      <c r="H122" s="38">
        <v>79</v>
      </c>
      <c r="I122" s="38">
        <v>85</v>
      </c>
      <c r="J122" s="38">
        <v>81</v>
      </c>
      <c r="K122" s="22">
        <v>513</v>
      </c>
      <c r="L122" s="99">
        <v>296</v>
      </c>
      <c r="M122" s="99">
        <v>206</v>
      </c>
      <c r="N122" s="100"/>
      <c r="O122" s="100"/>
      <c r="P122" s="100"/>
      <c r="Q122" s="100" t="s">
        <v>21</v>
      </c>
      <c r="R122" s="2"/>
      <c r="S122" s="2"/>
    </row>
    <row r="123" ht="87.7" customHeight="1" spans="1:19">
      <c r="A123" s="214">
        <v>227</v>
      </c>
      <c r="B123" s="214" t="s">
        <v>71</v>
      </c>
      <c r="C123" s="215" t="str">
        <f>_xlfn.DISPIMG("ID_0F464482A2BC4C01ADE9030246B7F75F",1)</f>
        <v>=DISPIMG("ID_0F464482A2BC4C01ADE9030246B7F75F",1)</v>
      </c>
      <c r="D123" s="214" t="s">
        <v>180</v>
      </c>
      <c r="E123" s="28">
        <v>97</v>
      </c>
      <c r="F123" s="38">
        <v>87</v>
      </c>
      <c r="G123" s="38">
        <v>110</v>
      </c>
      <c r="H123" s="38">
        <v>86</v>
      </c>
      <c r="I123" s="38">
        <v>85</v>
      </c>
      <c r="J123" s="38">
        <v>100</v>
      </c>
      <c r="K123" s="22">
        <v>565</v>
      </c>
      <c r="L123" s="216">
        <v>296</v>
      </c>
      <c r="M123" s="216">
        <v>206</v>
      </c>
      <c r="N123" s="217"/>
      <c r="O123" s="217"/>
      <c r="P123" s="217"/>
      <c r="Q123" s="217"/>
      <c r="R123" s="2"/>
      <c r="S123" s="2"/>
    </row>
    <row r="124" ht="87.7" customHeight="1" spans="1:19">
      <c r="A124" s="80">
        <v>229</v>
      </c>
      <c r="B124" s="80" t="s">
        <v>52</v>
      </c>
      <c r="C124" s="81" t="str">
        <f>_xlfn.DISPIMG("ID_B784142D8D60475AB28FB6EC8E96E43B",1)</f>
        <v>=DISPIMG("ID_B784142D8D60475AB28FB6EC8E96E43B",1)</v>
      </c>
      <c r="D124" s="80" t="s">
        <v>181</v>
      </c>
      <c r="E124" s="28">
        <v>90</v>
      </c>
      <c r="F124" s="38">
        <v>120</v>
      </c>
      <c r="G124" s="38">
        <v>75</v>
      </c>
      <c r="H124" s="38">
        <v>95</v>
      </c>
      <c r="I124" s="38">
        <v>85</v>
      </c>
      <c r="J124" s="38">
        <v>110</v>
      </c>
      <c r="K124" s="22">
        <v>575</v>
      </c>
      <c r="L124" s="83">
        <v>296</v>
      </c>
      <c r="M124" s="83">
        <v>206</v>
      </c>
      <c r="N124" s="84"/>
      <c r="O124" s="84"/>
      <c r="P124" s="84"/>
      <c r="Q124" s="84"/>
      <c r="R124" s="2"/>
      <c r="S124" s="2"/>
    </row>
    <row r="125" ht="87.7" customHeight="1" spans="1:19">
      <c r="A125" s="118">
        <v>271</v>
      </c>
      <c r="B125" s="118" t="s">
        <v>115</v>
      </c>
      <c r="C125" s="119" t="str">
        <f>_xlfn.DISPIMG("ID_B21B037D86D04CBAAF36D16C4C7EDCD1",1)</f>
        <v>=DISPIMG("ID_B21B037D86D04CBAAF36D16C4C7EDCD1",1)</v>
      </c>
      <c r="D125" s="118" t="s">
        <v>182</v>
      </c>
      <c r="E125" s="28">
        <v>110</v>
      </c>
      <c r="F125" s="38">
        <v>105</v>
      </c>
      <c r="G125" s="38">
        <v>75</v>
      </c>
      <c r="H125" s="38">
        <v>90</v>
      </c>
      <c r="I125" s="38">
        <v>85</v>
      </c>
      <c r="J125" s="38">
        <v>120</v>
      </c>
      <c r="K125" s="22">
        <v>585</v>
      </c>
      <c r="L125" s="120">
        <v>296</v>
      </c>
      <c r="M125" s="120">
        <v>206</v>
      </c>
      <c r="N125" s="121" t="s">
        <v>21</v>
      </c>
      <c r="O125" s="121" t="s">
        <v>21</v>
      </c>
      <c r="P125" s="121"/>
      <c r="Q125" s="121"/>
      <c r="R125" s="2"/>
      <c r="S125" s="2"/>
    </row>
    <row r="126" ht="87.7" customHeight="1" spans="1:19">
      <c r="A126" s="118">
        <v>292</v>
      </c>
      <c r="B126" s="118" t="s">
        <v>115</v>
      </c>
      <c r="C126" s="119" t="str">
        <f>_xlfn.DISPIMG("ID_211C826BFC89469FB50D93E93F30491D",1)</f>
        <v>=DISPIMG("ID_211C826BFC89469FB50D93E93F30491D",1)</v>
      </c>
      <c r="D126" s="118" t="s">
        <v>183</v>
      </c>
      <c r="E126" s="28">
        <v>101</v>
      </c>
      <c r="F126" s="38">
        <v>82</v>
      </c>
      <c r="G126" s="38">
        <v>98</v>
      </c>
      <c r="H126" s="38">
        <v>82</v>
      </c>
      <c r="I126" s="38">
        <v>85</v>
      </c>
      <c r="J126" s="38">
        <v>130</v>
      </c>
      <c r="K126" s="22">
        <v>578</v>
      </c>
      <c r="L126" s="120">
        <v>296</v>
      </c>
      <c r="M126" s="120">
        <v>206</v>
      </c>
      <c r="N126" s="121"/>
      <c r="O126" s="121"/>
      <c r="P126" s="121"/>
      <c r="Q126" s="121"/>
      <c r="R126" s="2"/>
      <c r="S126" s="2"/>
    </row>
    <row r="127" ht="87.7" customHeight="1" spans="1:19">
      <c r="A127" s="97">
        <v>327</v>
      </c>
      <c r="B127" s="97" t="s">
        <v>71</v>
      </c>
      <c r="C127" s="98" t="str">
        <f>_xlfn.DISPIMG("ID_3B3BD1C9FB7646EE9D71F5E1252034ED",1)</f>
        <v>=DISPIMG("ID_3B3BD1C9FB7646EE9D71F5E1252034ED",1)</v>
      </c>
      <c r="D127" s="384" t="s">
        <v>184</v>
      </c>
      <c r="E127" s="28">
        <v>80</v>
      </c>
      <c r="F127" s="38">
        <v>86</v>
      </c>
      <c r="G127" s="38">
        <v>110</v>
      </c>
      <c r="H127" s="38">
        <v>81</v>
      </c>
      <c r="I127" s="38">
        <v>85</v>
      </c>
      <c r="J127" s="38">
        <v>101</v>
      </c>
      <c r="K127" s="22">
        <v>543</v>
      </c>
      <c r="L127" s="99">
        <v>296</v>
      </c>
      <c r="M127" s="99">
        <v>206</v>
      </c>
      <c r="N127" s="100"/>
      <c r="O127" s="100"/>
      <c r="P127" s="100"/>
      <c r="Q127" s="100"/>
      <c r="R127" s="2"/>
      <c r="S127" s="2"/>
    </row>
    <row r="128" ht="87.7" customHeight="1" spans="1:19">
      <c r="A128" s="72">
        <v>340</v>
      </c>
      <c r="B128" s="72" t="s">
        <v>45</v>
      </c>
      <c r="C128" s="73" t="str">
        <f>_xlfn.DISPIMG("ID_42F20B030B77418DA25C798CB983B607",1)</f>
        <v>=DISPIMG("ID_42F20B030B77418DA25C798CB983B607",1)</v>
      </c>
      <c r="D128" s="72" t="s">
        <v>185</v>
      </c>
      <c r="E128" s="28">
        <v>110</v>
      </c>
      <c r="F128" s="38">
        <v>90</v>
      </c>
      <c r="G128" s="38">
        <v>110</v>
      </c>
      <c r="H128" s="38">
        <v>90</v>
      </c>
      <c r="I128" s="38">
        <v>85</v>
      </c>
      <c r="J128" s="38">
        <v>110</v>
      </c>
      <c r="K128" s="22">
        <v>595</v>
      </c>
      <c r="L128" s="74">
        <v>296</v>
      </c>
      <c r="M128" s="74">
        <v>206</v>
      </c>
      <c r="N128" s="75"/>
      <c r="O128" s="75"/>
      <c r="P128" s="75"/>
      <c r="Q128" s="75" t="s">
        <v>21</v>
      </c>
      <c r="R128" s="2"/>
      <c r="S128" s="2"/>
    </row>
    <row r="129" ht="87.7" customHeight="1" spans="1:19">
      <c r="A129" s="101">
        <v>382</v>
      </c>
      <c r="B129" s="101" t="s">
        <v>86</v>
      </c>
      <c r="C129" s="102" t="str">
        <f>_xlfn.DISPIMG("ID_B4FE56C36D1B41F7AB7B39E889750972",1)</f>
        <v>=DISPIMG("ID_B4FE56C36D1B41F7AB7B39E889750972",1)</v>
      </c>
      <c r="D129" s="101" t="s">
        <v>186</v>
      </c>
      <c r="E129" s="28">
        <v>84</v>
      </c>
      <c r="F129" s="38">
        <v>82</v>
      </c>
      <c r="G129" s="38">
        <v>100</v>
      </c>
      <c r="H129" s="38">
        <v>112</v>
      </c>
      <c r="I129" s="38">
        <v>85</v>
      </c>
      <c r="J129" s="38">
        <v>106</v>
      </c>
      <c r="K129" s="22">
        <v>569</v>
      </c>
      <c r="L129" s="103">
        <v>296</v>
      </c>
      <c r="M129" s="103">
        <v>206</v>
      </c>
      <c r="N129" s="104" t="s">
        <v>21</v>
      </c>
      <c r="O129" s="104"/>
      <c r="P129" s="104"/>
      <c r="Q129" s="104"/>
      <c r="R129" s="2"/>
      <c r="S129" s="2"/>
    </row>
    <row r="130" ht="87.7" customHeight="1" spans="1:19">
      <c r="A130" s="76">
        <v>424</v>
      </c>
      <c r="B130" s="76" t="s">
        <v>150</v>
      </c>
      <c r="C130" s="77" t="str">
        <f>_xlfn.DISPIMG("ID_AB492C7B7ABD4246A16B99C8C1D44A21",1)</f>
        <v>=DISPIMG("ID_AB492C7B7ABD4246A16B99C8C1D44A21",1)</v>
      </c>
      <c r="D130" s="76" t="s">
        <v>187</v>
      </c>
      <c r="E130" s="28">
        <v>75</v>
      </c>
      <c r="F130" s="38">
        <v>99</v>
      </c>
      <c r="G130" s="38">
        <v>108</v>
      </c>
      <c r="H130" s="38">
        <v>103</v>
      </c>
      <c r="I130" s="38">
        <v>85</v>
      </c>
      <c r="J130" s="38">
        <v>122</v>
      </c>
      <c r="K130" s="22">
        <v>592</v>
      </c>
      <c r="L130" s="78">
        <v>296</v>
      </c>
      <c r="M130" s="78">
        <v>206</v>
      </c>
      <c r="N130" s="79"/>
      <c r="O130" s="79"/>
      <c r="P130" s="79" t="s">
        <v>21</v>
      </c>
      <c r="Q130" s="79"/>
      <c r="R130" s="2"/>
      <c r="S130" s="2"/>
    </row>
    <row r="131" ht="87.7" customHeight="1" spans="1:19">
      <c r="A131" s="214">
        <v>458</v>
      </c>
      <c r="B131" s="214" t="s">
        <v>71</v>
      </c>
      <c r="C131" s="215" t="str">
        <f>_xlfn.DISPIMG("ID_C28B20BF113A405DB63273439FEF15E6",1)</f>
        <v>=DISPIMG("ID_C28B20BF113A405DB63273439FEF15E6",1)</v>
      </c>
      <c r="D131" s="214" t="s">
        <v>188</v>
      </c>
      <c r="E131" s="28">
        <v>80</v>
      </c>
      <c r="F131" s="38">
        <v>91</v>
      </c>
      <c r="G131" s="38">
        <v>102</v>
      </c>
      <c r="H131" s="38">
        <v>92</v>
      </c>
      <c r="I131" s="38">
        <v>85</v>
      </c>
      <c r="J131" s="38">
        <v>115</v>
      </c>
      <c r="K131" s="22">
        <v>565</v>
      </c>
      <c r="L131" s="216">
        <v>296</v>
      </c>
      <c r="M131" s="216">
        <v>206</v>
      </c>
      <c r="N131" s="217"/>
      <c r="O131" s="217"/>
      <c r="P131" s="217"/>
      <c r="Q131" s="217"/>
      <c r="R131" s="2"/>
      <c r="S131" s="2"/>
    </row>
    <row r="132" ht="87.7" customHeight="1" spans="1:19">
      <c r="A132" s="55">
        <v>90</v>
      </c>
      <c r="B132" s="348" t="s">
        <v>28</v>
      </c>
      <c r="C132" s="56" t="str">
        <f>_xlfn.DISPIMG("ID_80389CFEA3514D9AAA3227A29A3E224F",1)</f>
        <v>=DISPIMG("ID_80389CFEA3514D9AAA3227A29A3E224F",1)</v>
      </c>
      <c r="D132" s="55" t="s">
        <v>189</v>
      </c>
      <c r="E132" s="28">
        <v>88</v>
      </c>
      <c r="F132" s="38">
        <v>95</v>
      </c>
      <c r="G132" s="38">
        <v>77</v>
      </c>
      <c r="H132" s="38">
        <v>96</v>
      </c>
      <c r="I132" s="38">
        <v>84</v>
      </c>
      <c r="J132" s="38">
        <v>80</v>
      </c>
      <c r="K132" s="22">
        <v>520</v>
      </c>
      <c r="L132" s="57">
        <v>294</v>
      </c>
      <c r="M132" s="57">
        <v>204</v>
      </c>
      <c r="N132" s="59"/>
      <c r="O132" s="59" t="s">
        <v>21</v>
      </c>
      <c r="P132" s="59"/>
      <c r="Q132" s="59"/>
      <c r="R132" s="2"/>
      <c r="S132" s="2"/>
    </row>
    <row r="133" ht="87.7" customHeight="1" spans="1:19">
      <c r="A133" s="385">
        <v>135</v>
      </c>
      <c r="B133" s="385" t="s">
        <v>28</v>
      </c>
      <c r="C133" s="386" t="str">
        <f>_xlfn.DISPIMG("ID_DBD1DE2F7BFD45EDA5C1C375FF561F57",1)</f>
        <v>=DISPIMG("ID_DBD1DE2F7BFD45EDA5C1C375FF561F57",1)</v>
      </c>
      <c r="D133" s="385" t="s">
        <v>190</v>
      </c>
      <c r="E133" s="28">
        <v>101</v>
      </c>
      <c r="F133" s="38">
        <v>79</v>
      </c>
      <c r="G133" s="38">
        <v>83</v>
      </c>
      <c r="H133" s="38">
        <v>78</v>
      </c>
      <c r="I133" s="38">
        <v>84</v>
      </c>
      <c r="J133" s="38">
        <v>87</v>
      </c>
      <c r="K133" s="22">
        <v>512</v>
      </c>
      <c r="L133" s="387">
        <v>294</v>
      </c>
      <c r="M133" s="387">
        <v>204</v>
      </c>
      <c r="N133" s="388"/>
      <c r="O133" s="388"/>
      <c r="P133" s="388"/>
      <c r="Q133" s="388"/>
      <c r="R133" s="2"/>
      <c r="S133" s="2"/>
    </row>
    <row r="134" ht="87.7" customHeight="1" spans="1:19">
      <c r="A134" s="109">
        <v>121</v>
      </c>
      <c r="B134" s="109" t="s">
        <v>71</v>
      </c>
      <c r="C134" s="110" t="str">
        <f>_xlfn.DISPIMG("ID_8EEC42F1A197491CA2A7BA2E82440BC3",1)</f>
        <v>=DISPIMG("ID_8EEC42F1A197491CA2A7BA2E82440BC3",1)</v>
      </c>
      <c r="D134" s="109" t="s">
        <v>191</v>
      </c>
      <c r="E134" s="28">
        <v>103</v>
      </c>
      <c r="F134" s="38">
        <v>84</v>
      </c>
      <c r="G134" s="38">
        <v>97</v>
      </c>
      <c r="H134" s="38">
        <v>82</v>
      </c>
      <c r="I134" s="38">
        <v>83</v>
      </c>
      <c r="J134" s="38">
        <v>85</v>
      </c>
      <c r="K134" s="22">
        <v>534</v>
      </c>
      <c r="L134" s="111">
        <v>292</v>
      </c>
      <c r="M134" s="111">
        <v>202</v>
      </c>
      <c r="N134" s="112"/>
      <c r="O134" s="112"/>
      <c r="P134" s="112"/>
      <c r="Q134" s="112"/>
      <c r="R134" s="2"/>
      <c r="S134" s="2"/>
    </row>
    <row r="135" ht="87.7" customHeight="1" spans="1:19">
      <c r="A135" s="64">
        <v>200</v>
      </c>
      <c r="B135" s="64" t="s">
        <v>38</v>
      </c>
      <c r="C135" s="65" t="str">
        <f>_xlfn.DISPIMG("ID_AB78B766A9F244F59B05DE224DF3F5D8",1)</f>
        <v>=DISPIMG("ID_AB78B766A9F244F59B05DE224DF3F5D8",1)</v>
      </c>
      <c r="D135" s="64" t="s">
        <v>192</v>
      </c>
      <c r="E135" s="28">
        <v>88</v>
      </c>
      <c r="F135" s="38">
        <v>79</v>
      </c>
      <c r="G135" s="38">
        <v>113</v>
      </c>
      <c r="H135" s="38">
        <v>89</v>
      </c>
      <c r="I135" s="38">
        <v>83</v>
      </c>
      <c r="J135" s="38">
        <v>105</v>
      </c>
      <c r="K135" s="22">
        <v>557</v>
      </c>
      <c r="L135" s="66">
        <v>292</v>
      </c>
      <c r="M135" s="66">
        <v>202</v>
      </c>
      <c r="N135" s="67" t="s">
        <v>21</v>
      </c>
      <c r="O135" s="67"/>
      <c r="P135" s="67" t="s">
        <v>21</v>
      </c>
      <c r="Q135" s="67"/>
      <c r="R135" s="2"/>
      <c r="S135" s="2"/>
    </row>
    <row r="136" ht="87.7" customHeight="1" spans="1:19">
      <c r="A136" s="118">
        <v>236</v>
      </c>
      <c r="B136" s="118" t="s">
        <v>115</v>
      </c>
      <c r="C136" s="119" t="str">
        <f>_xlfn.DISPIMG("ID_161A0C3E0F2D43AEB5A2F173DD94854A",1)</f>
        <v>=DISPIMG("ID_161A0C3E0F2D43AEB5A2F173DD94854A",1)</v>
      </c>
      <c r="D136" s="118" t="s">
        <v>193</v>
      </c>
      <c r="E136" s="28">
        <v>82</v>
      </c>
      <c r="F136" s="38">
        <v>85</v>
      </c>
      <c r="G136" s="38">
        <v>112</v>
      </c>
      <c r="H136" s="38">
        <v>91</v>
      </c>
      <c r="I136" s="38">
        <v>83</v>
      </c>
      <c r="J136" s="38">
        <v>110</v>
      </c>
      <c r="K136" s="22">
        <v>563</v>
      </c>
      <c r="L136" s="120">
        <v>292</v>
      </c>
      <c r="M136" s="120">
        <v>202</v>
      </c>
      <c r="N136" s="121"/>
      <c r="O136" s="121"/>
      <c r="P136" s="121" t="s">
        <v>21</v>
      </c>
      <c r="Q136" s="121"/>
      <c r="R136" s="2"/>
      <c r="S136" s="2"/>
    </row>
    <row r="137" ht="87.7" customHeight="1" spans="1:19">
      <c r="A137" s="55">
        <v>210</v>
      </c>
      <c r="B137" s="55" t="s">
        <v>28</v>
      </c>
      <c r="C137" s="56" t="str">
        <f>_xlfn.DISPIMG("ID_2E235548409D4EE4A814B79213802045",1)</f>
        <v>=DISPIMG("ID_2E235548409D4EE4A814B79213802045",1)</v>
      </c>
      <c r="D137" s="55" t="s">
        <v>194</v>
      </c>
      <c r="E137" s="28">
        <v>84</v>
      </c>
      <c r="F137" s="38">
        <v>95</v>
      </c>
      <c r="G137" s="38">
        <v>98</v>
      </c>
      <c r="H137" s="38">
        <v>99</v>
      </c>
      <c r="I137" s="38">
        <v>82</v>
      </c>
      <c r="J137" s="38">
        <v>100</v>
      </c>
      <c r="K137" s="22">
        <v>558</v>
      </c>
      <c r="L137" s="57">
        <v>290</v>
      </c>
      <c r="M137" s="57">
        <v>200</v>
      </c>
      <c r="N137" s="59"/>
      <c r="O137" s="59"/>
      <c r="P137" s="59"/>
      <c r="Q137" s="59"/>
      <c r="R137" s="2"/>
      <c r="S137" s="2"/>
    </row>
    <row r="138" ht="87.7" customHeight="1" spans="1:19">
      <c r="A138" s="49">
        <v>391</v>
      </c>
      <c r="B138" s="49" t="s">
        <v>57</v>
      </c>
      <c r="C138" s="50" t="str">
        <f>_xlfn.DISPIMG("ID_09CD23762A374A3C81C497504F6D16B2",1)</f>
        <v>=DISPIMG("ID_09CD23762A374A3C81C497504F6D16B2",1)</v>
      </c>
      <c r="D138" s="49" t="s">
        <v>195</v>
      </c>
      <c r="E138" s="28">
        <v>95</v>
      </c>
      <c r="F138" s="38">
        <v>80</v>
      </c>
      <c r="G138" s="38">
        <v>118</v>
      </c>
      <c r="H138" s="38">
        <v>110</v>
      </c>
      <c r="I138" s="38">
        <v>82</v>
      </c>
      <c r="J138" s="38">
        <v>120</v>
      </c>
      <c r="K138" s="22">
        <v>605</v>
      </c>
      <c r="L138" s="52">
        <v>290</v>
      </c>
      <c r="M138" s="52">
        <v>200</v>
      </c>
      <c r="N138" s="54"/>
      <c r="O138" s="54"/>
      <c r="P138" s="54" t="s">
        <v>21</v>
      </c>
      <c r="Q138" s="54"/>
      <c r="R138" s="2"/>
      <c r="S138" s="2"/>
    </row>
    <row r="139" ht="87.7" customHeight="1" spans="1:19">
      <c r="A139" s="244">
        <v>460</v>
      </c>
      <c r="B139" s="244" t="s">
        <v>45</v>
      </c>
      <c r="C139" s="245" t="str">
        <f>_xlfn.DISPIMG("ID_5EFD06B43AAB499D9367A958699A2920",1)</f>
        <v>=DISPIMG("ID_5EFD06B43AAB499D9367A958699A2920",1)</v>
      </c>
      <c r="D139" s="244" t="s">
        <v>196</v>
      </c>
      <c r="E139" s="28">
        <v>108</v>
      </c>
      <c r="F139" s="38">
        <v>87</v>
      </c>
      <c r="G139" s="38">
        <v>80</v>
      </c>
      <c r="H139" s="38">
        <v>85</v>
      </c>
      <c r="I139" s="38">
        <v>82</v>
      </c>
      <c r="J139" s="38">
        <v>108</v>
      </c>
      <c r="K139" s="22">
        <v>550</v>
      </c>
      <c r="L139" s="246">
        <v>290</v>
      </c>
      <c r="M139" s="246">
        <v>200</v>
      </c>
      <c r="N139" s="247"/>
      <c r="O139" s="247"/>
      <c r="P139" s="247"/>
      <c r="Q139" s="247"/>
      <c r="R139" s="2"/>
      <c r="S139" s="2"/>
    </row>
    <row r="140" ht="87.7" customHeight="1" spans="1:19">
      <c r="A140" s="72">
        <v>73</v>
      </c>
      <c r="B140" s="266" t="s">
        <v>45</v>
      </c>
      <c r="C140" s="73" t="str">
        <f>_xlfn.DISPIMG("ID_99948ECB8DB346D09F370EC46AD1DADB",1)</f>
        <v>=DISPIMG("ID_99948ECB8DB346D09F370EC46AD1DADB",1)</v>
      </c>
      <c r="D140" s="266" t="s">
        <v>197</v>
      </c>
      <c r="E140" s="28">
        <v>108</v>
      </c>
      <c r="F140" s="38">
        <v>95</v>
      </c>
      <c r="G140" s="38">
        <v>85</v>
      </c>
      <c r="H140" s="38">
        <v>84</v>
      </c>
      <c r="I140" s="38">
        <v>81</v>
      </c>
      <c r="J140" s="38">
        <v>90</v>
      </c>
      <c r="K140" s="22">
        <v>543</v>
      </c>
      <c r="L140" s="74">
        <v>287</v>
      </c>
      <c r="M140" s="74">
        <v>198</v>
      </c>
      <c r="N140" s="75"/>
      <c r="O140" s="75"/>
      <c r="P140" s="75"/>
      <c r="Q140" s="75" t="s">
        <v>21</v>
      </c>
      <c r="R140" s="2"/>
      <c r="S140" s="2"/>
    </row>
    <row r="141" ht="87.7" customHeight="1" spans="1:19">
      <c r="A141" s="186">
        <v>104</v>
      </c>
      <c r="B141" s="186" t="s">
        <v>45</v>
      </c>
      <c r="C141" s="187" t="str">
        <f>_xlfn.DISPIMG("ID_0BD32AD052CE43C1BA335F0A2D7592FD",1)</f>
        <v>=DISPIMG("ID_0BD32AD052CE43C1BA335F0A2D7592FD",1)</v>
      </c>
      <c r="D141" s="186" t="s">
        <v>198</v>
      </c>
      <c r="E141" s="28">
        <v>111</v>
      </c>
      <c r="F141" s="38">
        <v>96</v>
      </c>
      <c r="G141" s="38">
        <v>87</v>
      </c>
      <c r="H141" s="38">
        <v>80</v>
      </c>
      <c r="I141" s="38">
        <v>81</v>
      </c>
      <c r="J141" s="38">
        <v>91</v>
      </c>
      <c r="K141" s="22">
        <v>546</v>
      </c>
      <c r="L141" s="188">
        <v>287</v>
      </c>
      <c r="M141" s="188">
        <v>198</v>
      </c>
      <c r="N141" s="189"/>
      <c r="O141" s="189"/>
      <c r="P141" s="189"/>
      <c r="Q141" s="189"/>
      <c r="R141" s="2"/>
      <c r="S141" s="2"/>
    </row>
    <row r="142" ht="87.7" customHeight="1" spans="1:19">
      <c r="A142" s="389">
        <v>432</v>
      </c>
      <c r="B142" s="389" t="s">
        <v>52</v>
      </c>
      <c r="C142" s="390" t="str">
        <f>_xlfn.DISPIMG("ID_8803C8F4F55C47BDAD981746A7667890",1)</f>
        <v>=DISPIMG("ID_8803C8F4F55C47BDAD981746A7667890",1)</v>
      </c>
      <c r="D142" s="389" t="s">
        <v>199</v>
      </c>
      <c r="E142" s="28">
        <v>118</v>
      </c>
      <c r="F142" s="38">
        <v>103</v>
      </c>
      <c r="G142" s="38">
        <v>87</v>
      </c>
      <c r="H142" s="38">
        <v>87</v>
      </c>
      <c r="I142" s="38">
        <v>81</v>
      </c>
      <c r="J142" s="38">
        <v>114</v>
      </c>
      <c r="K142" s="22">
        <v>590</v>
      </c>
      <c r="L142" s="391">
        <v>287</v>
      </c>
      <c r="M142" s="391">
        <v>198</v>
      </c>
      <c r="N142" s="392" t="s">
        <v>21</v>
      </c>
      <c r="O142" s="392"/>
      <c r="P142" s="392"/>
      <c r="Q142" s="392"/>
      <c r="R142" s="2"/>
      <c r="S142" s="2"/>
    </row>
    <row r="143" ht="87.7" customHeight="1" spans="1:19">
      <c r="A143" s="60">
        <v>473</v>
      </c>
      <c r="B143" s="60" t="s">
        <v>125</v>
      </c>
      <c r="C143" s="61" t="str">
        <f>_xlfn.DISPIMG("ID_EF93E6B31219456882FAC876BCF71D69",1)</f>
        <v>=DISPIMG("ID_EF93E6B31219456882FAC876BCF71D69",1)</v>
      </c>
      <c r="D143" s="60" t="s">
        <v>200</v>
      </c>
      <c r="E143" s="28">
        <v>90</v>
      </c>
      <c r="F143" s="38">
        <v>85</v>
      </c>
      <c r="G143" s="38">
        <v>115</v>
      </c>
      <c r="H143" s="38">
        <v>87</v>
      </c>
      <c r="I143" s="38">
        <v>81</v>
      </c>
      <c r="J143" s="38">
        <v>107</v>
      </c>
      <c r="K143" s="22">
        <v>565</v>
      </c>
      <c r="L143" s="62">
        <v>287</v>
      </c>
      <c r="M143" s="62">
        <v>198</v>
      </c>
      <c r="N143" s="63"/>
      <c r="O143" s="63" t="s">
        <v>21</v>
      </c>
      <c r="P143" s="218" t="s">
        <v>132</v>
      </c>
      <c r="Q143" s="60"/>
      <c r="R143" s="2"/>
      <c r="S143" s="2"/>
    </row>
    <row r="144" ht="87.7" customHeight="1" spans="1:19">
      <c r="A144" s="146">
        <v>18</v>
      </c>
      <c r="B144" s="393" t="s">
        <v>125</v>
      </c>
      <c r="C144" s="147" t="str">
        <f>_xlfn.DISPIMG("ID_986C67DC5112412EAA3746DDB97CB76F",1)</f>
        <v>=DISPIMG("ID_986C67DC5112412EAA3746DDB97CB76F",1)</v>
      </c>
      <c r="D144" s="146" t="s">
        <v>201</v>
      </c>
      <c r="E144" s="28">
        <v>82</v>
      </c>
      <c r="F144" s="38">
        <v>83</v>
      </c>
      <c r="G144" s="38">
        <v>100</v>
      </c>
      <c r="H144" s="38">
        <v>100</v>
      </c>
      <c r="I144" s="38">
        <v>80</v>
      </c>
      <c r="J144" s="38">
        <v>80</v>
      </c>
      <c r="K144" s="22">
        <v>525</v>
      </c>
      <c r="L144" s="148">
        <v>285</v>
      </c>
      <c r="M144" s="148">
        <v>196</v>
      </c>
      <c r="N144" s="149"/>
      <c r="O144" s="149"/>
      <c r="P144" s="149"/>
      <c r="Q144" s="149"/>
      <c r="R144" s="2"/>
      <c r="S144" s="2"/>
    </row>
    <row r="145" ht="87.7" customHeight="1" spans="1:19">
      <c r="A145" s="394">
        <v>61</v>
      </c>
      <c r="B145" s="395" t="s">
        <v>45</v>
      </c>
      <c r="C145" s="396" t="str">
        <f>_xlfn.DISPIMG("ID_0B15863493F24C3B91DF4E9F0A884241",1)</f>
        <v>=DISPIMG("ID_0B15863493F24C3B91DF4E9F0A884241",1)</v>
      </c>
      <c r="D145" s="394" t="s">
        <v>202</v>
      </c>
      <c r="E145" s="28">
        <v>83</v>
      </c>
      <c r="F145" s="38">
        <v>86</v>
      </c>
      <c r="G145" s="38">
        <v>110</v>
      </c>
      <c r="H145" s="38">
        <v>97</v>
      </c>
      <c r="I145" s="38">
        <v>80</v>
      </c>
      <c r="J145" s="38">
        <v>89</v>
      </c>
      <c r="K145" s="22">
        <v>545</v>
      </c>
      <c r="L145" s="397">
        <v>285</v>
      </c>
      <c r="M145" s="397">
        <v>196</v>
      </c>
      <c r="N145" s="398"/>
      <c r="O145" s="398"/>
      <c r="P145" s="398"/>
      <c r="Q145" s="398" t="s">
        <v>21</v>
      </c>
      <c r="R145" s="2"/>
      <c r="S145" s="2"/>
    </row>
    <row r="146" ht="87.7" customHeight="1" spans="1:19">
      <c r="A146" s="72">
        <v>113</v>
      </c>
      <c r="B146" s="72" t="s">
        <v>45</v>
      </c>
      <c r="C146" s="73" t="str">
        <f>_xlfn.DISPIMG("ID_A49BD71137144AE1B49E65E4B3494180",1)</f>
        <v>=DISPIMG("ID_A49BD71137144AE1B49E65E4B3494180",1)</v>
      </c>
      <c r="D146" s="72" t="s">
        <v>203</v>
      </c>
      <c r="E146" s="28">
        <v>82</v>
      </c>
      <c r="F146" s="38">
        <v>95</v>
      </c>
      <c r="G146" s="38">
        <v>100</v>
      </c>
      <c r="H146" s="38">
        <v>85</v>
      </c>
      <c r="I146" s="38">
        <v>80</v>
      </c>
      <c r="J146" s="38">
        <v>106</v>
      </c>
      <c r="K146" s="22">
        <v>548</v>
      </c>
      <c r="L146" s="74">
        <v>285</v>
      </c>
      <c r="M146" s="74">
        <v>196</v>
      </c>
      <c r="N146" s="75"/>
      <c r="O146" s="75"/>
      <c r="P146" s="75"/>
      <c r="Q146" s="75"/>
      <c r="R146" s="2"/>
      <c r="S146" s="2"/>
    </row>
    <row r="147" ht="87.7" customHeight="1" spans="1:19">
      <c r="A147" s="248">
        <v>169</v>
      </c>
      <c r="B147" s="248" t="s">
        <v>125</v>
      </c>
      <c r="C147" s="249" t="str">
        <f>_xlfn.DISPIMG("ID_83401E4363414A619FB6167956636ADF",1)</f>
        <v>=DISPIMG("ID_83401E4363414A619FB6167956636ADF",1)</v>
      </c>
      <c r="D147" s="248" t="s">
        <v>204</v>
      </c>
      <c r="E147" s="28">
        <v>100</v>
      </c>
      <c r="F147" s="38">
        <v>100</v>
      </c>
      <c r="G147" s="38">
        <v>84</v>
      </c>
      <c r="H147" s="38">
        <v>84</v>
      </c>
      <c r="I147" s="38">
        <v>80</v>
      </c>
      <c r="J147" s="38">
        <v>85</v>
      </c>
      <c r="K147" s="22">
        <v>533</v>
      </c>
      <c r="L147" s="250">
        <v>285</v>
      </c>
      <c r="M147" s="250">
        <v>196</v>
      </c>
      <c r="N147" s="251"/>
      <c r="O147" s="251"/>
      <c r="P147" s="251"/>
      <c r="Q147" s="251"/>
      <c r="R147" s="2"/>
      <c r="S147" s="2"/>
    </row>
    <row r="148" ht="87.7" customHeight="1" spans="1:19">
      <c r="A148" s="72">
        <v>202</v>
      </c>
      <c r="B148" s="72" t="s">
        <v>45</v>
      </c>
      <c r="C148" s="73" t="str">
        <f>_xlfn.DISPIMG("ID_0D7D4BE05F2D4D038C743519D9EA986E",1)</f>
        <v>=DISPIMG("ID_0D7D4BE05F2D4D038C743519D9EA986E",1)</v>
      </c>
      <c r="D148" s="72" t="s">
        <v>205</v>
      </c>
      <c r="E148" s="28">
        <v>85</v>
      </c>
      <c r="F148" s="38">
        <v>85</v>
      </c>
      <c r="G148" s="38">
        <v>115</v>
      </c>
      <c r="H148" s="38">
        <v>95</v>
      </c>
      <c r="I148" s="38">
        <v>80</v>
      </c>
      <c r="J148" s="38">
        <v>100</v>
      </c>
      <c r="K148" s="22">
        <v>560</v>
      </c>
      <c r="L148" s="74">
        <v>285</v>
      </c>
      <c r="M148" s="74">
        <v>196</v>
      </c>
      <c r="N148" s="75" t="s">
        <v>21</v>
      </c>
      <c r="O148" s="75"/>
      <c r="P148" s="75"/>
      <c r="Q148" s="75"/>
      <c r="R148" s="2"/>
      <c r="S148" s="2"/>
    </row>
    <row r="149" ht="87.7" customHeight="1" spans="1:19">
      <c r="A149" s="101">
        <v>234</v>
      </c>
      <c r="B149" s="101" t="s">
        <v>86</v>
      </c>
      <c r="C149" s="102" t="str">
        <f>_xlfn.DISPIMG("ID_E7CAD3FBD382455696D1D58FC1DABD1A",1)</f>
        <v>=DISPIMG("ID_E7CAD3FBD382455696D1D58FC1DABD1A",1)</v>
      </c>
      <c r="D149" s="101" t="s">
        <v>206</v>
      </c>
      <c r="E149" s="28">
        <v>78</v>
      </c>
      <c r="F149" s="38">
        <v>84</v>
      </c>
      <c r="G149" s="38">
        <v>100</v>
      </c>
      <c r="H149" s="38">
        <v>120</v>
      </c>
      <c r="I149" s="38">
        <v>80</v>
      </c>
      <c r="J149" s="38">
        <v>100</v>
      </c>
      <c r="K149" s="22">
        <v>562</v>
      </c>
      <c r="L149" s="103">
        <v>285</v>
      </c>
      <c r="M149" s="103">
        <v>196</v>
      </c>
      <c r="N149" s="104"/>
      <c r="O149" s="104"/>
      <c r="P149" s="104"/>
      <c r="Q149" s="104"/>
      <c r="R149" s="2"/>
      <c r="S149" s="2"/>
    </row>
    <row r="150" ht="87.7" customHeight="1" spans="1:19">
      <c r="A150" s="118">
        <v>259</v>
      </c>
      <c r="B150" s="118" t="s">
        <v>115</v>
      </c>
      <c r="C150" s="119" t="str">
        <f>_xlfn.DISPIMG("ID_13D087002BF0422E9A7526112B445309",1)</f>
        <v>=DISPIMG("ID_13D087002BF0422E9A7526112B445309",1)</v>
      </c>
      <c r="D150" s="118" t="s">
        <v>207</v>
      </c>
      <c r="E150" s="28">
        <v>107</v>
      </c>
      <c r="F150" s="38">
        <v>107</v>
      </c>
      <c r="G150" s="38">
        <v>76</v>
      </c>
      <c r="H150" s="38">
        <v>86</v>
      </c>
      <c r="I150" s="38">
        <v>80</v>
      </c>
      <c r="J150" s="38">
        <v>120</v>
      </c>
      <c r="K150" s="22">
        <v>576</v>
      </c>
      <c r="L150" s="120">
        <v>285</v>
      </c>
      <c r="M150" s="120">
        <v>196</v>
      </c>
      <c r="N150" s="121"/>
      <c r="O150" s="121"/>
      <c r="P150" s="121" t="s">
        <v>21</v>
      </c>
      <c r="Q150" s="121"/>
      <c r="R150" s="2"/>
      <c r="S150" s="2"/>
    </row>
    <row r="151" ht="87.7" customHeight="1" spans="1:19">
      <c r="A151" s="389">
        <v>405</v>
      </c>
      <c r="B151" s="389" t="s">
        <v>52</v>
      </c>
      <c r="C151" s="399" t="str">
        <f>_xlfn.DISPIMG("ID_BA1471220E3A4CC5B0CD00CD6A83DF45",1)</f>
        <v>=DISPIMG("ID_BA1471220E3A4CC5B0CD00CD6A83DF45",1)</v>
      </c>
      <c r="D151" s="389" t="s">
        <v>208</v>
      </c>
      <c r="E151" s="28">
        <v>100</v>
      </c>
      <c r="F151" s="38">
        <v>120</v>
      </c>
      <c r="G151" s="38">
        <v>77</v>
      </c>
      <c r="H151" s="38">
        <v>80</v>
      </c>
      <c r="I151" s="38">
        <v>80</v>
      </c>
      <c r="J151" s="38">
        <v>130</v>
      </c>
      <c r="K151" s="22">
        <v>587</v>
      </c>
      <c r="L151" s="391">
        <v>285</v>
      </c>
      <c r="M151" s="391">
        <v>196</v>
      </c>
      <c r="N151" s="392" t="s">
        <v>21</v>
      </c>
      <c r="O151" s="392"/>
      <c r="P151" s="392"/>
      <c r="Q151" s="392"/>
      <c r="R151" s="2"/>
      <c r="S151" s="2"/>
    </row>
    <row r="152" ht="87.7" customHeight="1" spans="1:19">
      <c r="A152" s="118">
        <v>411</v>
      </c>
      <c r="B152" s="118" t="s">
        <v>115</v>
      </c>
      <c r="C152" s="119" t="str">
        <f>_xlfn.DISPIMG("ID_85A9E84CCEAD41AABF9986C7B88A18F4",1)</f>
        <v>=DISPIMG("ID_85A9E84CCEAD41AABF9986C7B88A18F4",1)</v>
      </c>
      <c r="D152" s="118" t="s">
        <v>209</v>
      </c>
      <c r="E152" s="28">
        <v>86</v>
      </c>
      <c r="F152" s="38">
        <v>84</v>
      </c>
      <c r="G152" s="38">
        <v>110</v>
      </c>
      <c r="H152" s="38">
        <v>90</v>
      </c>
      <c r="I152" s="38">
        <v>80</v>
      </c>
      <c r="J152" s="38">
        <v>105</v>
      </c>
      <c r="K152" s="22">
        <v>555</v>
      </c>
      <c r="L152" s="120">
        <v>285</v>
      </c>
      <c r="M152" s="120">
        <v>196</v>
      </c>
      <c r="N152" s="121"/>
      <c r="O152" s="121"/>
      <c r="P152" s="121"/>
      <c r="Q152" s="121"/>
      <c r="R152" s="2"/>
      <c r="S152" s="2"/>
    </row>
    <row r="153" ht="87.7" customHeight="1" spans="1:19">
      <c r="A153" s="378">
        <v>32</v>
      </c>
      <c r="B153" s="400" t="s">
        <v>38</v>
      </c>
      <c r="C153" s="401" t="str">
        <f>_xlfn.DISPIMG("ID_BB3E73CEBF4445E09A8DE6BEC94F9487",1)</f>
        <v>=DISPIMG("ID_BB3E73CEBF4445E09A8DE6BEC94F9487",1)</v>
      </c>
      <c r="D153" s="400" t="s">
        <v>210</v>
      </c>
      <c r="E153" s="28">
        <v>83</v>
      </c>
      <c r="F153" s="38">
        <v>100</v>
      </c>
      <c r="G153" s="38">
        <v>85</v>
      </c>
      <c r="H153" s="38">
        <v>105</v>
      </c>
      <c r="I153" s="38">
        <v>78</v>
      </c>
      <c r="J153" s="38">
        <v>79</v>
      </c>
      <c r="K153" s="22">
        <v>530</v>
      </c>
      <c r="L153" s="271">
        <v>281</v>
      </c>
      <c r="M153" s="271">
        <v>192</v>
      </c>
      <c r="N153" s="272"/>
      <c r="O153" s="272"/>
      <c r="P153" s="272"/>
      <c r="Q153" s="272"/>
      <c r="R153" s="2"/>
      <c r="S153" s="2"/>
    </row>
    <row r="154" ht="87.7" customHeight="1" spans="1:19">
      <c r="A154" s="60">
        <v>303</v>
      </c>
      <c r="B154" s="60" t="s">
        <v>125</v>
      </c>
      <c r="C154" s="61" t="str">
        <f>_xlfn.DISPIMG("ID_4578F0D9734E46AAAD6B129DFBA3C41E",1)</f>
        <v>=DISPIMG("ID_4578F0D9734E46AAAD6B129DFBA3C41E",1)</v>
      </c>
      <c r="D154" s="60" t="s">
        <v>211</v>
      </c>
      <c r="E154" s="28">
        <v>81</v>
      </c>
      <c r="F154" s="38">
        <v>106</v>
      </c>
      <c r="G154" s="38">
        <v>109</v>
      </c>
      <c r="H154" s="38">
        <v>112</v>
      </c>
      <c r="I154" s="38">
        <v>76</v>
      </c>
      <c r="J154" s="38">
        <v>130</v>
      </c>
      <c r="K154" s="22">
        <v>614</v>
      </c>
      <c r="L154" s="62">
        <v>276</v>
      </c>
      <c r="M154" s="62">
        <v>188</v>
      </c>
      <c r="N154" s="63"/>
      <c r="O154" s="63"/>
      <c r="P154" s="63"/>
      <c r="Q154" s="63"/>
      <c r="R154" s="2"/>
      <c r="S154" s="2"/>
    </row>
    <row r="155" ht="87.7" customHeight="1" spans="1:19">
      <c r="A155" s="146">
        <v>369</v>
      </c>
      <c r="B155" s="146" t="s">
        <v>125</v>
      </c>
      <c r="C155" s="147" t="str">
        <f>_xlfn.DISPIMG("ID_17199843C3C7402C89513150CC9F7A72",1)</f>
        <v>=DISPIMG("ID_17199843C3C7402C89513150CC9F7A72",1)</v>
      </c>
      <c r="D155" s="146" t="s">
        <v>212</v>
      </c>
      <c r="E155" s="28">
        <v>80</v>
      </c>
      <c r="F155" s="38">
        <v>99</v>
      </c>
      <c r="G155" s="38">
        <v>80</v>
      </c>
      <c r="H155" s="38">
        <v>115</v>
      </c>
      <c r="I155" s="38">
        <v>76</v>
      </c>
      <c r="J155" s="38">
        <v>110</v>
      </c>
      <c r="K155" s="22">
        <v>560</v>
      </c>
      <c r="L155" s="148">
        <v>276</v>
      </c>
      <c r="M155" s="148">
        <v>188</v>
      </c>
      <c r="N155" s="149"/>
      <c r="O155" s="149"/>
      <c r="P155" s="149"/>
      <c r="Q155" s="149"/>
      <c r="R155" s="2"/>
      <c r="S155" s="2"/>
    </row>
    <row r="156" ht="87.7" customHeight="1" spans="1:19">
      <c r="A156" s="244">
        <v>214</v>
      </c>
      <c r="B156" s="244" t="s">
        <v>45</v>
      </c>
      <c r="C156" s="245" t="str">
        <f>_xlfn.DISPIMG("ID_FB38885DB9B84727B9AF327D485608AA",1)</f>
        <v>=DISPIMG("ID_FB38885DB9B84727B9AF327D485608AA",1)</v>
      </c>
      <c r="D156" s="402" t="s">
        <v>213</v>
      </c>
      <c r="E156" s="28">
        <v>75</v>
      </c>
      <c r="F156" s="38">
        <v>100</v>
      </c>
      <c r="G156" s="38">
        <v>90</v>
      </c>
      <c r="H156" s="38">
        <v>95</v>
      </c>
      <c r="I156" s="38">
        <v>75</v>
      </c>
      <c r="J156" s="38">
        <v>120</v>
      </c>
      <c r="K156" s="22">
        <v>555</v>
      </c>
      <c r="L156" s="246">
        <v>274</v>
      </c>
      <c r="M156" s="246">
        <v>186</v>
      </c>
      <c r="N156" s="247"/>
      <c r="O156" s="247"/>
      <c r="P156" s="247"/>
      <c r="Q156" s="247"/>
      <c r="R156" s="2"/>
      <c r="S156" s="2"/>
    </row>
    <row r="157" ht="87.7" customHeight="1" spans="1:19">
      <c r="A157" s="244">
        <v>224</v>
      </c>
      <c r="B157" s="244" t="s">
        <v>45</v>
      </c>
      <c r="C157" s="245" t="str">
        <f>_xlfn.DISPIMG("ID_23F007BEC3654BEDB444C2DA74C2B19F",1)</f>
        <v>=DISPIMG("ID_23F007BEC3654BEDB444C2DA74C2B19F",1)</v>
      </c>
      <c r="D157" s="244" t="s">
        <v>214</v>
      </c>
      <c r="E157" s="28">
        <v>108</v>
      </c>
      <c r="F157" s="38">
        <v>88</v>
      </c>
      <c r="G157" s="38">
        <v>104</v>
      </c>
      <c r="H157" s="38">
        <v>86</v>
      </c>
      <c r="I157" s="38">
        <v>75</v>
      </c>
      <c r="J157" s="38">
        <v>101</v>
      </c>
      <c r="K157" s="22">
        <v>562</v>
      </c>
      <c r="L157" s="246">
        <v>274</v>
      </c>
      <c r="M157" s="246">
        <v>186</v>
      </c>
      <c r="N157" s="247"/>
      <c r="O157" s="247"/>
      <c r="P157" s="247"/>
      <c r="Q157" s="247" t="s">
        <v>21</v>
      </c>
      <c r="R157" s="2"/>
      <c r="S157" s="2"/>
    </row>
    <row r="158" ht="87.7" customHeight="1" spans="1:19">
      <c r="A158" s="109">
        <v>231</v>
      </c>
      <c r="B158" s="109" t="s">
        <v>71</v>
      </c>
      <c r="C158" s="110" t="str">
        <f>_xlfn.DISPIMG("ID_86BD1C63B36A467E878E7C1D3B688829",1)</f>
        <v>=DISPIMG("ID_86BD1C63B36A467E878E7C1D3B688829",1)</v>
      </c>
      <c r="D158" s="109" t="s">
        <v>215</v>
      </c>
      <c r="E158" s="28">
        <v>106</v>
      </c>
      <c r="F158" s="38">
        <v>94</v>
      </c>
      <c r="G158" s="38">
        <v>90</v>
      </c>
      <c r="H158" s="38">
        <v>93</v>
      </c>
      <c r="I158" s="38">
        <v>75</v>
      </c>
      <c r="J158" s="38">
        <v>105</v>
      </c>
      <c r="K158" s="22">
        <v>563</v>
      </c>
      <c r="L158" s="111">
        <v>274</v>
      </c>
      <c r="M158" s="111">
        <v>186</v>
      </c>
      <c r="N158" s="112"/>
      <c r="O158" s="112"/>
      <c r="P158" s="112"/>
      <c r="Q158" s="112"/>
      <c r="R158" s="2"/>
      <c r="S158" s="2"/>
    </row>
    <row r="159" ht="87.7" customHeight="1" spans="1:19">
      <c r="A159" s="146">
        <v>295</v>
      </c>
      <c r="B159" s="146" t="s">
        <v>125</v>
      </c>
      <c r="C159" s="147" t="str">
        <f>_xlfn.DISPIMG("ID_3D6D1B8E9CB1450DBEAB9955FEE8BBEF",1)</f>
        <v>=DISPIMG("ID_3D6D1B8E9CB1450DBEAB9955FEE8BBEF",1)</v>
      </c>
      <c r="D159" s="146" t="s">
        <v>216</v>
      </c>
      <c r="E159" s="28">
        <v>100</v>
      </c>
      <c r="F159" s="38">
        <v>85</v>
      </c>
      <c r="G159" s="38">
        <v>103</v>
      </c>
      <c r="H159" s="38">
        <v>101</v>
      </c>
      <c r="I159" s="38">
        <v>75</v>
      </c>
      <c r="J159" s="38">
        <v>110</v>
      </c>
      <c r="K159" s="22">
        <v>574</v>
      </c>
      <c r="L159" s="148">
        <v>274</v>
      </c>
      <c r="M159" s="148">
        <v>186</v>
      </c>
      <c r="N159" s="149"/>
      <c r="O159" s="149"/>
      <c r="P159" s="149"/>
      <c r="Q159" s="149"/>
      <c r="R159" s="2"/>
      <c r="S159" s="2"/>
    </row>
    <row r="160" ht="87.7" customHeight="1" spans="1:19">
      <c r="A160" s="244">
        <v>144</v>
      </c>
      <c r="B160" s="244" t="s">
        <v>45</v>
      </c>
      <c r="C160" s="245" t="str">
        <f>_xlfn.DISPIMG("ID_42DF4F97D47E4E22A8253CA77F5BC387",1)</f>
        <v>=DISPIMG("ID_42DF4F97D47E4E22A8253CA77F5BC387",1)</v>
      </c>
      <c r="D160" s="244" t="s">
        <v>217</v>
      </c>
      <c r="E160" s="28">
        <v>88</v>
      </c>
      <c r="F160" s="38">
        <v>108</v>
      </c>
      <c r="G160" s="38">
        <v>86</v>
      </c>
      <c r="H160" s="38">
        <v>104</v>
      </c>
      <c r="I160" s="38">
        <v>74</v>
      </c>
      <c r="J160" s="38">
        <v>96</v>
      </c>
      <c r="K160" s="22">
        <v>556</v>
      </c>
      <c r="L160" s="246">
        <v>272</v>
      </c>
      <c r="M160" s="246">
        <v>184</v>
      </c>
      <c r="N160" s="247"/>
      <c r="O160" s="247"/>
      <c r="P160" s="247"/>
      <c r="Q160" s="247"/>
      <c r="R160" s="2"/>
      <c r="S160" s="2"/>
    </row>
    <row r="161" ht="87.7" customHeight="1" spans="1:19">
      <c r="A161" s="118">
        <v>107</v>
      </c>
      <c r="B161" s="118" t="s">
        <v>115</v>
      </c>
      <c r="C161" s="119" t="str">
        <f>_xlfn.DISPIMG("ID_987F969B76DA4ED4896F6D186F709836",1)</f>
        <v>=DISPIMG("ID_987F969B76DA4ED4896F6D186F709836",1)</v>
      </c>
      <c r="D161" s="118" t="s">
        <v>218</v>
      </c>
      <c r="E161" s="304">
        <v>88</v>
      </c>
      <c r="F161" s="305">
        <v>81</v>
      </c>
      <c r="G161" s="305">
        <v>99</v>
      </c>
      <c r="H161" s="305">
        <v>83</v>
      </c>
      <c r="I161" s="305">
        <v>73</v>
      </c>
      <c r="J161" s="305">
        <v>116</v>
      </c>
      <c r="K161" s="306">
        <v>540</v>
      </c>
      <c r="L161" s="120">
        <v>270</v>
      </c>
      <c r="M161" s="120">
        <v>182</v>
      </c>
      <c r="N161" s="121" t="s">
        <v>21</v>
      </c>
      <c r="O161" s="121"/>
      <c r="P161" s="121"/>
      <c r="Q161" s="121"/>
      <c r="R161" s="2"/>
      <c r="S161" s="2"/>
    </row>
    <row r="162" ht="87.7" customHeight="1" spans="1:19">
      <c r="A162" s="316">
        <v>356</v>
      </c>
      <c r="B162" s="316" t="s">
        <v>17</v>
      </c>
      <c r="C162" s="317" t="str">
        <f>_xlfn.DISPIMG("ID_92D7295B738B4BE886A98E8BE089FD2E",1)</f>
        <v>=DISPIMG("ID_92D7295B738B4BE886A98E8BE089FD2E",1)</v>
      </c>
      <c r="D162" s="403" t="s">
        <v>219</v>
      </c>
      <c r="E162" s="28">
        <v>115</v>
      </c>
      <c r="F162" s="38">
        <v>102</v>
      </c>
      <c r="G162" s="38">
        <v>90</v>
      </c>
      <c r="H162" s="38">
        <v>84</v>
      </c>
      <c r="I162" s="38">
        <v>73</v>
      </c>
      <c r="J162" s="38">
        <v>111</v>
      </c>
      <c r="K162" s="22">
        <v>575</v>
      </c>
      <c r="L162" s="318">
        <v>270</v>
      </c>
      <c r="M162" s="318">
        <v>182</v>
      </c>
      <c r="N162" s="319"/>
      <c r="O162" s="319"/>
      <c r="P162" s="319"/>
      <c r="Q162" s="319"/>
      <c r="R162" s="2"/>
      <c r="S162" s="2"/>
    </row>
    <row r="163" ht="87.7" customHeight="1" spans="1:19">
      <c r="A163" s="16">
        <v>361</v>
      </c>
      <c r="B163" s="16" t="s">
        <v>17</v>
      </c>
      <c r="C163" s="18" t="str">
        <f>_xlfn.DISPIMG("ID_9E1271ECA3E842AD993BC6F7B768A8A8",1)</f>
        <v>=DISPIMG("ID_9E1271ECA3E842AD993BC6F7B768A8A8",1)</v>
      </c>
      <c r="D163" s="16" t="s">
        <v>220</v>
      </c>
      <c r="E163" s="28">
        <v>95</v>
      </c>
      <c r="F163" s="38">
        <v>90</v>
      </c>
      <c r="G163" s="38">
        <v>100</v>
      </c>
      <c r="H163" s="38">
        <v>90</v>
      </c>
      <c r="I163" s="38">
        <v>72</v>
      </c>
      <c r="J163" s="38">
        <v>110</v>
      </c>
      <c r="K163" s="22">
        <v>557</v>
      </c>
      <c r="L163" s="23">
        <v>268</v>
      </c>
      <c r="M163" s="23">
        <v>180</v>
      </c>
      <c r="N163" s="24"/>
      <c r="O163" s="24"/>
      <c r="P163" s="24"/>
      <c r="Q163" s="24"/>
      <c r="R163" s="2"/>
      <c r="S163" s="2"/>
    </row>
    <row r="164" ht="87.7" customHeight="1" spans="1:19">
      <c r="A164" s="291">
        <v>70</v>
      </c>
      <c r="B164" s="292" t="s">
        <v>17</v>
      </c>
      <c r="C164" s="293" t="str">
        <f>_xlfn.DISPIMG("ID_D89EEA9B95D74A7CB4C2AFA29315AA25",1)</f>
        <v>=DISPIMG("ID_D89EEA9B95D74A7CB4C2AFA29315AA25",1)</v>
      </c>
      <c r="D164" s="404" t="s">
        <v>221</v>
      </c>
      <c r="E164" s="28" t="s">
        <v>222</v>
      </c>
      <c r="F164" s="38">
        <v>85</v>
      </c>
      <c r="G164" s="38" t="s">
        <v>19</v>
      </c>
      <c r="H164" s="38">
        <v>87</v>
      </c>
      <c r="I164" s="38">
        <v>115</v>
      </c>
      <c r="J164" s="38">
        <v>101</v>
      </c>
      <c r="K164" s="22" t="s">
        <v>223</v>
      </c>
      <c r="L164" s="294">
        <v>266</v>
      </c>
      <c r="M164" s="294">
        <v>266</v>
      </c>
      <c r="N164" s="295"/>
      <c r="O164" s="295" t="s">
        <v>21</v>
      </c>
      <c r="P164" s="295" t="s">
        <v>21</v>
      </c>
      <c r="Q164" s="295"/>
      <c r="R164" s="2"/>
      <c r="S164" s="2"/>
    </row>
    <row r="165" ht="87.7" customHeight="1" spans="1:19">
      <c r="A165" s="55">
        <v>334</v>
      </c>
      <c r="B165" s="55" t="s">
        <v>28</v>
      </c>
      <c r="C165" s="56" t="str">
        <f>_xlfn.DISPIMG("ID_B8D59040206C4DB797415D9031FA8825",1)</f>
        <v>=DISPIMG("ID_B8D59040206C4DB797415D9031FA8825",1)</v>
      </c>
      <c r="D165" s="55" t="s">
        <v>224</v>
      </c>
      <c r="E165" s="28">
        <v>87</v>
      </c>
      <c r="F165" s="38">
        <v>98</v>
      </c>
      <c r="G165" s="38">
        <v>102</v>
      </c>
      <c r="H165" s="38">
        <v>100</v>
      </c>
      <c r="I165" s="38">
        <v>71</v>
      </c>
      <c r="J165" s="38">
        <v>113</v>
      </c>
      <c r="K165" s="22">
        <v>571</v>
      </c>
      <c r="L165" s="57">
        <v>265</v>
      </c>
      <c r="M165" s="57">
        <v>178</v>
      </c>
      <c r="N165" s="59"/>
      <c r="O165" s="59"/>
      <c r="P165" s="59"/>
      <c r="Q165" s="59"/>
      <c r="R165" s="2"/>
      <c r="S165" s="2"/>
    </row>
    <row r="166" ht="87.7" customHeight="1" spans="1:19">
      <c r="A166" s="118">
        <v>204</v>
      </c>
      <c r="B166" s="118" t="s">
        <v>115</v>
      </c>
      <c r="C166" s="119" t="str">
        <f>_xlfn.DISPIMG("ID_38B190E460FB41D2827CB74446DC7EC4",1)</f>
        <v>=DISPIMG("ID_38B190E460FB41D2827CB74446DC7EC4",1)</v>
      </c>
      <c r="D166" s="118" t="s">
        <v>225</v>
      </c>
      <c r="E166" s="28">
        <v>94</v>
      </c>
      <c r="F166" s="38">
        <v>100</v>
      </c>
      <c r="G166" s="38">
        <v>81</v>
      </c>
      <c r="H166" s="38">
        <v>90</v>
      </c>
      <c r="I166" s="38">
        <v>70</v>
      </c>
      <c r="J166" s="38">
        <v>105</v>
      </c>
      <c r="K166" s="22">
        <v>540</v>
      </c>
      <c r="L166" s="120">
        <v>263</v>
      </c>
      <c r="M166" s="120">
        <v>176</v>
      </c>
      <c r="N166" s="121"/>
      <c r="O166" s="121"/>
      <c r="P166" s="121" t="s">
        <v>21</v>
      </c>
      <c r="Q166" s="121"/>
      <c r="R166" s="2"/>
      <c r="S166" s="2"/>
    </row>
    <row r="167" ht="87.7" customHeight="1" spans="1:19">
      <c r="A167" s="350">
        <v>248</v>
      </c>
      <c r="B167" s="350" t="s">
        <v>86</v>
      </c>
      <c r="C167" s="351" t="str">
        <f>_xlfn.DISPIMG("ID_BDFF2215B06B4FDDB07DBF2494DB14AA",1)</f>
        <v>=DISPIMG("ID_BDFF2215B06B4FDDB07DBF2494DB14AA",1)</v>
      </c>
      <c r="D167" s="350" t="s">
        <v>226</v>
      </c>
      <c r="E167" s="28">
        <v>109</v>
      </c>
      <c r="F167" s="38">
        <v>105</v>
      </c>
      <c r="G167" s="38">
        <v>77</v>
      </c>
      <c r="H167" s="38">
        <v>93</v>
      </c>
      <c r="I167" s="38">
        <v>70</v>
      </c>
      <c r="J167" s="38">
        <v>115</v>
      </c>
      <c r="K167" s="22">
        <v>569</v>
      </c>
      <c r="L167" s="352">
        <v>263</v>
      </c>
      <c r="M167" s="352">
        <v>176</v>
      </c>
      <c r="N167" s="353" t="s">
        <v>21</v>
      </c>
      <c r="O167" s="353"/>
      <c r="P167" s="353"/>
      <c r="Q167" s="353"/>
      <c r="R167" s="2"/>
      <c r="S167" s="2"/>
    </row>
    <row r="168" ht="87.7" customHeight="1" spans="1:19">
      <c r="A168" s="394">
        <v>375</v>
      </c>
      <c r="B168" s="394" t="s">
        <v>45</v>
      </c>
      <c r="C168" s="396" t="str">
        <f>_xlfn.DISPIMG("ID_DAD5D46CF5574C4EB0BA4797F8E5FE67",1)</f>
        <v>=DISPIMG("ID_DAD5D46CF5574C4EB0BA4797F8E5FE67",1)</v>
      </c>
      <c r="D168" s="394" t="s">
        <v>227</v>
      </c>
      <c r="E168" s="28">
        <v>84</v>
      </c>
      <c r="F168" s="38">
        <v>95</v>
      </c>
      <c r="G168" s="38">
        <v>98</v>
      </c>
      <c r="H168" s="38">
        <v>112</v>
      </c>
      <c r="I168" s="38">
        <v>70</v>
      </c>
      <c r="J168" s="38">
        <v>112</v>
      </c>
      <c r="K168" s="22">
        <v>571</v>
      </c>
      <c r="L168" s="397">
        <v>263</v>
      </c>
      <c r="M168" s="397">
        <v>176</v>
      </c>
      <c r="N168" s="398" t="s">
        <v>21</v>
      </c>
      <c r="O168" s="398"/>
      <c r="P168" s="398"/>
      <c r="Q168" s="398"/>
      <c r="R168" s="2"/>
      <c r="S168" s="2"/>
    </row>
    <row r="169" ht="87.7" customHeight="1" spans="1:19">
      <c r="A169" s="118">
        <v>377</v>
      </c>
      <c r="B169" s="118" t="s">
        <v>115</v>
      </c>
      <c r="C169" s="119" t="str">
        <f>_xlfn.DISPIMG("ID_6DA6CC5579174F96B9F0531E6C34FDFC",1)</f>
        <v>=DISPIMG("ID_6DA6CC5579174F96B9F0531E6C34FDFC",1)</v>
      </c>
      <c r="D169" s="118" t="s">
        <v>228</v>
      </c>
      <c r="E169" s="28">
        <v>91</v>
      </c>
      <c r="F169" s="38">
        <v>120</v>
      </c>
      <c r="G169" s="38">
        <v>75</v>
      </c>
      <c r="H169" s="38">
        <v>85</v>
      </c>
      <c r="I169" s="38">
        <v>70</v>
      </c>
      <c r="J169" s="38">
        <v>130</v>
      </c>
      <c r="K169" s="22">
        <v>571</v>
      </c>
      <c r="L169" s="120">
        <v>263</v>
      </c>
      <c r="M169" s="120">
        <v>176</v>
      </c>
      <c r="N169" s="121"/>
      <c r="O169" s="121"/>
      <c r="P169" s="121"/>
      <c r="Q169" s="121"/>
      <c r="R169" s="2"/>
      <c r="S169" s="2"/>
    </row>
    <row r="170" ht="87.7" customHeight="1" spans="1:19">
      <c r="A170" s="307">
        <v>331</v>
      </c>
      <c r="B170" s="307" t="s">
        <v>71</v>
      </c>
      <c r="C170" s="308" t="str">
        <f>_xlfn.DISPIMG("ID_34718F4C38854357A9B2E4B65B3C8F12",1)</f>
        <v>=DISPIMG("ID_34718F4C38854357A9B2E4B65B3C8F12",1)</v>
      </c>
      <c r="D170" s="307" t="s">
        <v>229</v>
      </c>
      <c r="E170" s="28">
        <v>94</v>
      </c>
      <c r="F170" s="38">
        <v>105</v>
      </c>
      <c r="G170" s="38">
        <v>82</v>
      </c>
      <c r="H170" s="38">
        <v>74</v>
      </c>
      <c r="I170" s="38">
        <v>69</v>
      </c>
      <c r="J170" s="38">
        <v>90</v>
      </c>
      <c r="K170" s="22">
        <v>514</v>
      </c>
      <c r="L170" s="309">
        <v>261</v>
      </c>
      <c r="M170" s="309">
        <v>174</v>
      </c>
      <c r="N170" s="310" t="s">
        <v>21</v>
      </c>
      <c r="O170" s="310"/>
      <c r="P170" s="310"/>
      <c r="Q170" s="310"/>
      <c r="R170" s="2"/>
      <c r="S170" s="2"/>
    </row>
    <row r="171" ht="87.7" customHeight="1" spans="1:19">
      <c r="A171" s="177">
        <v>157</v>
      </c>
      <c r="B171" s="177" t="s">
        <v>55</v>
      </c>
      <c r="C171" s="179" t="str">
        <f>_xlfn.DISPIMG("ID_338517780EDB47469D309116C6BFC08F",1)</f>
        <v>=DISPIMG("ID_338517780EDB47469D309116C6BFC08F",1)</v>
      </c>
      <c r="D171" s="177" t="s">
        <v>230</v>
      </c>
      <c r="E171" s="28">
        <v>96</v>
      </c>
      <c r="F171" s="38">
        <v>90</v>
      </c>
      <c r="G171" s="38">
        <v>83</v>
      </c>
      <c r="H171" s="38">
        <v>88</v>
      </c>
      <c r="I171" s="38">
        <v>68</v>
      </c>
      <c r="J171" s="38">
        <v>90</v>
      </c>
      <c r="K171" s="22">
        <v>515</v>
      </c>
      <c r="L171" s="180">
        <v>259</v>
      </c>
      <c r="M171" s="180">
        <v>172</v>
      </c>
      <c r="N171" s="181"/>
      <c r="O171" s="181"/>
      <c r="P171" s="181" t="s">
        <v>21</v>
      </c>
      <c r="Q171" s="181"/>
      <c r="R171" s="2"/>
      <c r="S171" s="2"/>
    </row>
    <row r="172" ht="113" customHeight="1" spans="1:19">
      <c r="A172" s="118">
        <v>183</v>
      </c>
      <c r="B172" s="118" t="s">
        <v>115</v>
      </c>
      <c r="C172" s="119" t="str">
        <f>_xlfn.DISPIMG("ID_6AE4BCE1635A404093CD524C250B5504",1)</f>
        <v>=DISPIMG("ID_6AE4BCE1635A404093CD524C250B5504",1)</v>
      </c>
      <c r="D172" s="118" t="s">
        <v>231</v>
      </c>
      <c r="E172" s="28">
        <v>80</v>
      </c>
      <c r="F172" s="38">
        <v>88</v>
      </c>
      <c r="G172" s="38">
        <v>94</v>
      </c>
      <c r="H172" s="38">
        <v>90</v>
      </c>
      <c r="I172" s="38">
        <v>65</v>
      </c>
      <c r="J172" s="38">
        <v>105</v>
      </c>
      <c r="K172" s="22">
        <v>522</v>
      </c>
      <c r="L172" s="120">
        <v>252</v>
      </c>
      <c r="M172" s="120">
        <v>166</v>
      </c>
      <c r="N172" s="121"/>
      <c r="O172" s="121"/>
      <c r="P172" s="121"/>
      <c r="Q172" s="121"/>
      <c r="R172" s="2"/>
      <c r="S172" s="2"/>
    </row>
    <row r="173" ht="87.7" customHeight="1" spans="1:19">
      <c r="A173" s="55">
        <v>174</v>
      </c>
      <c r="B173" s="55" t="s">
        <v>28</v>
      </c>
      <c r="C173" s="56" t="str">
        <f>_xlfn.DISPIMG("ID_8AD350ABAA6644508993E45118E46BDA",1)</f>
        <v>=DISPIMG("ID_8AD350ABAA6644508993E45118E46BDA",1)</v>
      </c>
      <c r="D173" s="55" t="s">
        <v>232</v>
      </c>
      <c r="E173" s="28">
        <v>90</v>
      </c>
      <c r="F173" s="38">
        <v>89</v>
      </c>
      <c r="G173" s="38">
        <v>80</v>
      </c>
      <c r="H173" s="38">
        <v>93</v>
      </c>
      <c r="I173" s="38">
        <v>63</v>
      </c>
      <c r="J173" s="38">
        <v>97</v>
      </c>
      <c r="K173" s="22">
        <v>512</v>
      </c>
      <c r="L173" s="57">
        <v>248</v>
      </c>
      <c r="M173" s="57">
        <v>162</v>
      </c>
      <c r="N173" s="59"/>
      <c r="O173" s="59"/>
      <c r="P173" s="59"/>
      <c r="Q173" s="59"/>
      <c r="R173" s="2"/>
      <c r="S173" s="2"/>
    </row>
    <row r="174" ht="87.7" customHeight="1" spans="1:19">
      <c r="A174" s="291">
        <v>286</v>
      </c>
      <c r="B174" s="291" t="s">
        <v>17</v>
      </c>
      <c r="C174" s="293" t="str">
        <f>_xlfn.DISPIMG("ID_E44D9DDD7C2E4CEF944C63E0FB385B27",1)</f>
        <v>=DISPIMG("ID_E44D9DDD7C2E4CEF944C63E0FB385B27",1)</v>
      </c>
      <c r="D174" s="291" t="s">
        <v>233</v>
      </c>
      <c r="E174" s="28">
        <v>80</v>
      </c>
      <c r="F174" s="38">
        <v>80</v>
      </c>
      <c r="G174" s="38">
        <v>120</v>
      </c>
      <c r="H174" s="38">
        <v>95</v>
      </c>
      <c r="I174" s="38">
        <v>60</v>
      </c>
      <c r="J174" s="38">
        <v>105</v>
      </c>
      <c r="K174" s="22">
        <v>540</v>
      </c>
      <c r="L174" s="294">
        <v>241</v>
      </c>
      <c r="M174" s="294">
        <v>156</v>
      </c>
      <c r="N174" s="295"/>
      <c r="O174" s="295"/>
      <c r="P174" s="295"/>
      <c r="Q174" s="295" t="s">
        <v>21</v>
      </c>
      <c r="R174" s="2"/>
      <c r="S174" s="2"/>
    </row>
    <row r="175" ht="87.7" customHeight="1" spans="1:19">
      <c r="A175" s="282">
        <v>88</v>
      </c>
      <c r="B175" s="405" t="s">
        <v>115</v>
      </c>
      <c r="C175" s="283" t="str">
        <f>_xlfn.DISPIMG("ID_A432848293A04D2B818E697E3B8B5E17",1)</f>
        <v>=DISPIMG("ID_A432848293A04D2B818E697E3B8B5E17",1)</v>
      </c>
      <c r="D175" s="405" t="s">
        <v>234</v>
      </c>
      <c r="E175" s="28">
        <v>83</v>
      </c>
      <c r="F175" s="38">
        <v>102</v>
      </c>
      <c r="G175" s="38">
        <v>75</v>
      </c>
      <c r="H175" s="38">
        <v>100</v>
      </c>
      <c r="I175" s="38">
        <v>58</v>
      </c>
      <c r="J175" s="38">
        <v>110</v>
      </c>
      <c r="K175" s="22">
        <v>528</v>
      </c>
      <c r="L175" s="284">
        <v>237</v>
      </c>
      <c r="M175" s="284">
        <v>152</v>
      </c>
      <c r="N175" s="285"/>
      <c r="O175" s="285"/>
      <c r="P175" s="285" t="s">
        <v>21</v>
      </c>
      <c r="Q175" s="285"/>
      <c r="R175" s="2"/>
      <c r="S175" s="2"/>
    </row>
    <row r="176" ht="87.7" customHeight="1" spans="1:19">
      <c r="A176" s="60">
        <v>115</v>
      </c>
      <c r="B176" s="60" t="s">
        <v>125</v>
      </c>
      <c r="C176" s="61" t="str">
        <f>_xlfn.DISPIMG("ID_991374753B43418D934F374429CF13B4",1)</f>
        <v>=DISPIMG("ID_991374753B43418D934F374429CF13B4",1)</v>
      </c>
      <c r="D176" s="60" t="s">
        <v>235</v>
      </c>
      <c r="E176" s="28">
        <v>85</v>
      </c>
      <c r="F176" s="38">
        <v>89</v>
      </c>
      <c r="G176" s="38">
        <v>112</v>
      </c>
      <c r="H176" s="38">
        <v>92</v>
      </c>
      <c r="I176" s="38">
        <v>55</v>
      </c>
      <c r="J176" s="38">
        <v>100</v>
      </c>
      <c r="K176" s="22">
        <v>533</v>
      </c>
      <c r="L176" s="62">
        <v>230</v>
      </c>
      <c r="M176" s="62">
        <v>146</v>
      </c>
      <c r="N176" s="63"/>
      <c r="O176" s="63"/>
      <c r="P176" s="63"/>
      <c r="Q176" s="63"/>
      <c r="R176" s="2"/>
      <c r="S176" s="2"/>
    </row>
    <row r="177" ht="87.7" customHeight="1" spans="1:19">
      <c r="A177" s="146">
        <v>389</v>
      </c>
      <c r="B177" s="146" t="s">
        <v>125</v>
      </c>
      <c r="C177" s="147" t="str">
        <f>_xlfn.DISPIMG("ID_F867F388649F4F4390AF584D82CBF2CE",1)</f>
        <v>=DISPIMG("ID_F867F388649F4F4390AF584D82CBF2CE",1)</v>
      </c>
      <c r="D177" s="406" t="s">
        <v>236</v>
      </c>
      <c r="E177" s="304">
        <v>75</v>
      </c>
      <c r="F177" s="305">
        <v>110</v>
      </c>
      <c r="G177" s="305">
        <v>90</v>
      </c>
      <c r="H177" s="305">
        <v>117</v>
      </c>
      <c r="I177" s="305">
        <v>53</v>
      </c>
      <c r="J177" s="305">
        <v>125</v>
      </c>
      <c r="K177" s="306">
        <v>570</v>
      </c>
      <c r="L177" s="148">
        <v>226</v>
      </c>
      <c r="M177" s="148">
        <v>142</v>
      </c>
      <c r="N177" s="149"/>
      <c r="O177" s="149"/>
      <c r="P177" s="149" t="s">
        <v>21</v>
      </c>
      <c r="Q177" s="149"/>
      <c r="R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</sheetData>
  <autoFilter xmlns:etc="http://www.wps.cn/officeDocument/2017/etCustomData" ref="A1:Q177" etc:filterBottomFollowUsedRange="0">
    <sortState ref="A2:Q177">
      <sortCondition ref="L1" descending="1"/>
    </sortState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3"/>
  <sheetViews>
    <sheetView zoomScale="85" zoomScaleNormal="85" workbookViewId="0">
      <selection activeCell="K1" sqref="K1"/>
    </sheetView>
  </sheetViews>
  <sheetFormatPr defaultColWidth="9" defaultRowHeight="14.4"/>
  <cols>
    <col min="3" max="3" width="15.0277777777778" customWidth="1"/>
    <col min="4" max="4" width="24.3148148148148" customWidth="1"/>
    <col min="5" max="5" width="9.22222222222222"/>
    <col min="11" max="11" width="9" customWidth="1"/>
    <col min="12" max="13" width="12.8055555555556" customWidth="1"/>
    <col min="14" max="17" width="19.6018518518519" customWidth="1"/>
  </cols>
  <sheetData>
    <row r="1" ht="15.15" spans="1:19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"/>
      <c r="S1" s="2"/>
    </row>
    <row r="2" ht="87.7" customHeight="1" spans="1:19">
      <c r="A2" s="16">
        <v>70</v>
      </c>
      <c r="B2" s="17" t="s">
        <v>17</v>
      </c>
      <c r="C2" s="18" t="str">
        <f>_xlfn.DISPIMG("ID_D89EEA9B95D74A7CB4C2AFA29315AA25",1)</f>
        <v>=DISPIMG("ID_D89EEA9B95D74A7CB4C2AFA29315AA25",1)</v>
      </c>
      <c r="D2" s="17" t="s">
        <v>22</v>
      </c>
      <c r="E2" s="19" t="s">
        <v>23</v>
      </c>
      <c r="F2" s="20" t="s">
        <v>24</v>
      </c>
      <c r="G2" s="20" t="s">
        <v>25</v>
      </c>
      <c r="H2" s="20" t="s">
        <v>23</v>
      </c>
      <c r="I2" s="20" t="s">
        <v>23</v>
      </c>
      <c r="J2" s="21" t="s">
        <v>26</v>
      </c>
      <c r="K2" s="22" t="s">
        <v>27</v>
      </c>
      <c r="L2" s="23">
        <v>360</v>
      </c>
      <c r="M2" s="23">
        <v>266</v>
      </c>
      <c r="N2" s="24"/>
      <c r="O2" s="24" t="s">
        <v>21</v>
      </c>
      <c r="P2" s="24" t="s">
        <v>21</v>
      </c>
      <c r="Q2" s="24"/>
      <c r="R2" s="2"/>
      <c r="S2" s="2"/>
    </row>
    <row r="3" ht="87.7" customHeight="1" spans="1:19">
      <c r="A3" s="25">
        <v>300</v>
      </c>
      <c r="B3" s="25" t="s">
        <v>30</v>
      </c>
      <c r="C3" s="26" t="str">
        <f>_xlfn.DISPIMG("ID_7B3E0F3389A24B90B0F55B3F4DECEC4A",1)</f>
        <v>=DISPIMG("ID_7B3E0F3389A24B90B0F55B3F4DECEC4A",1)</v>
      </c>
      <c r="D3" s="27" t="s">
        <v>31</v>
      </c>
      <c r="E3" s="28">
        <v>110</v>
      </c>
      <c r="F3" s="22">
        <v>100</v>
      </c>
      <c r="G3" s="22">
        <v>120</v>
      </c>
      <c r="H3" s="22">
        <v>100</v>
      </c>
      <c r="I3" s="22">
        <v>110</v>
      </c>
      <c r="J3" s="22">
        <v>120</v>
      </c>
      <c r="K3" s="22">
        <v>660</v>
      </c>
      <c r="L3" s="29">
        <v>351</v>
      </c>
      <c r="M3" s="29">
        <v>256</v>
      </c>
      <c r="N3" s="30"/>
      <c r="O3" s="30"/>
      <c r="P3" s="30"/>
      <c r="Q3" s="30"/>
      <c r="R3" s="2"/>
      <c r="S3" s="2"/>
    </row>
    <row r="4" ht="87.7" customHeight="1" spans="1:19">
      <c r="A4" s="31">
        <v>503</v>
      </c>
      <c r="B4" s="31" t="s">
        <v>128</v>
      </c>
      <c r="C4" s="32" t="str">
        <f>_xlfn.DISPIMG("ID_5840B76F2DC74B7186430AAE1985B509",1)</f>
        <v>=DISPIMG("ID_5840B76F2DC74B7186430AAE1985B509",1)</v>
      </c>
      <c r="D4" s="31" t="s">
        <v>129</v>
      </c>
      <c r="E4" s="28">
        <v>120</v>
      </c>
      <c r="F4" s="22">
        <v>97</v>
      </c>
      <c r="G4" s="22">
        <v>120</v>
      </c>
      <c r="H4" s="22">
        <v>93</v>
      </c>
      <c r="I4" s="22">
        <v>94</v>
      </c>
      <c r="J4" s="22">
        <v>131</v>
      </c>
      <c r="K4" s="22">
        <v>655</v>
      </c>
      <c r="L4" s="33">
        <v>316</v>
      </c>
      <c r="M4" s="33">
        <v>224</v>
      </c>
      <c r="N4" s="34"/>
      <c r="O4" s="34" t="s">
        <v>21</v>
      </c>
      <c r="P4" s="34"/>
      <c r="Q4" s="34"/>
      <c r="R4" s="2"/>
      <c r="S4" s="2"/>
    </row>
    <row r="5" ht="87.7" customHeight="1" spans="1:19">
      <c r="A5" s="35">
        <v>504</v>
      </c>
      <c r="B5" s="35" t="s">
        <v>32</v>
      </c>
      <c r="C5" s="36" t="str">
        <f>_xlfn.DISPIMG("ID_76B81B3526CA49C9AD69FB86DFD23DD7",1)</f>
        <v>=DISPIMG("ID_76B81B3526CA49C9AD69FB86DFD23DD7",1)</v>
      </c>
      <c r="D5" s="37" t="s">
        <v>33</v>
      </c>
      <c r="E5" s="28">
        <v>95</v>
      </c>
      <c r="F5" s="22">
        <v>100</v>
      </c>
      <c r="G5" s="38">
        <v>115</v>
      </c>
      <c r="H5" s="38">
        <v>100</v>
      </c>
      <c r="I5" s="38">
        <v>110</v>
      </c>
      <c r="J5" s="22">
        <v>130</v>
      </c>
      <c r="K5" s="22">
        <v>650</v>
      </c>
      <c r="L5" s="39">
        <v>351</v>
      </c>
      <c r="M5" s="39">
        <v>256</v>
      </c>
      <c r="N5" s="40"/>
      <c r="O5" s="40"/>
      <c r="P5" s="40" t="s">
        <v>21</v>
      </c>
      <c r="Q5" s="40"/>
      <c r="R5" s="2"/>
      <c r="S5" s="2"/>
    </row>
    <row r="6" ht="87.7" customHeight="1" spans="1:19">
      <c r="A6" s="41">
        <v>502</v>
      </c>
      <c r="B6" s="41" t="s">
        <v>138</v>
      </c>
      <c r="C6" s="41" t="str">
        <f>_xlfn.DISPIMG("ID_68DA0510A68E4A43B0A0967FF55C35DB",1)</f>
        <v>=DISPIMG("ID_68DA0510A68E4A43B0A0967FF55C35DB",1)</v>
      </c>
      <c r="D6" s="42" t="s">
        <v>139</v>
      </c>
      <c r="E6" s="28">
        <v>98</v>
      </c>
      <c r="F6" s="38">
        <v>95</v>
      </c>
      <c r="G6" s="38">
        <v>120</v>
      </c>
      <c r="H6" s="38">
        <v>95</v>
      </c>
      <c r="I6" s="38">
        <v>92</v>
      </c>
      <c r="J6" s="22">
        <v>150</v>
      </c>
      <c r="K6" s="22">
        <v>650</v>
      </c>
      <c r="L6" s="43">
        <v>312</v>
      </c>
      <c r="M6" s="43">
        <v>220</v>
      </c>
      <c r="N6" s="44" t="s">
        <v>21</v>
      </c>
      <c r="O6" s="44"/>
      <c r="P6" s="44"/>
      <c r="Q6" s="44"/>
      <c r="R6" s="2"/>
      <c r="S6" s="2"/>
    </row>
    <row r="7" ht="87.7" customHeight="1" spans="1:19">
      <c r="A7" s="45">
        <v>501</v>
      </c>
      <c r="B7" s="45" t="s">
        <v>162</v>
      </c>
      <c r="C7" s="46" t="str">
        <f>_xlfn.DISPIMG("ID_1C2B6DE0551341778574DBDB9B502A36",1)</f>
        <v>=DISPIMG("ID_1C2B6DE0551341778574DBDB9B502A36",1)</v>
      </c>
      <c r="D7" s="45" t="s">
        <v>163</v>
      </c>
      <c r="E7" s="28">
        <v>100</v>
      </c>
      <c r="F7" s="38">
        <v>120</v>
      </c>
      <c r="G7" s="38">
        <v>95</v>
      </c>
      <c r="H7" s="38">
        <v>120</v>
      </c>
      <c r="I7" s="38">
        <v>90</v>
      </c>
      <c r="J7" s="22">
        <v>125</v>
      </c>
      <c r="K7" s="22">
        <v>650</v>
      </c>
      <c r="L7" s="47">
        <v>307</v>
      </c>
      <c r="M7" s="47">
        <v>216</v>
      </c>
      <c r="N7" s="48"/>
      <c r="O7" s="48"/>
      <c r="P7" s="48"/>
      <c r="Q7" s="48"/>
      <c r="R7" s="2"/>
      <c r="S7" s="2"/>
    </row>
    <row r="8" ht="87.7" customHeight="1" spans="1:19">
      <c r="A8" s="49">
        <v>216</v>
      </c>
      <c r="B8" s="49" t="s">
        <v>57</v>
      </c>
      <c r="C8" s="50" t="str">
        <f>_xlfn.DISPIMG("ID_144C0B9E980D49D0BFE57CBE133282D1",1)</f>
        <v>=DISPIMG("ID_144C0B9E980D49D0BFE57CBE133282D1",1)</v>
      </c>
      <c r="D8" s="51" t="s">
        <v>79</v>
      </c>
      <c r="E8" s="28">
        <v>120</v>
      </c>
      <c r="F8" s="38">
        <v>95</v>
      </c>
      <c r="G8" s="38">
        <v>95</v>
      </c>
      <c r="H8" s="38">
        <v>90</v>
      </c>
      <c r="I8" s="38">
        <v>101</v>
      </c>
      <c r="J8" s="22">
        <v>125</v>
      </c>
      <c r="K8" s="22">
        <v>626</v>
      </c>
      <c r="L8" s="52">
        <v>331</v>
      </c>
      <c r="M8" s="53">
        <v>238</v>
      </c>
      <c r="N8" s="54" t="s">
        <v>21</v>
      </c>
      <c r="O8" s="54" t="s">
        <v>21</v>
      </c>
      <c r="P8" s="54"/>
      <c r="Q8" s="54"/>
      <c r="R8" s="2"/>
      <c r="S8" s="2"/>
    </row>
    <row r="9" ht="87.7" customHeight="1" spans="1:19">
      <c r="A9" s="49">
        <v>413</v>
      </c>
      <c r="B9" s="49" t="s">
        <v>57</v>
      </c>
      <c r="C9" s="50" t="str">
        <f>_xlfn.DISPIMG("ID_EFBBDC5B0F4A4A70A4DE6B651D0FB340",1)</f>
        <v>=DISPIMG("ID_EFBBDC5B0F4A4A70A4DE6B651D0FB340",1)</v>
      </c>
      <c r="D9" s="49" t="s">
        <v>74</v>
      </c>
      <c r="E9" s="28">
        <v>116</v>
      </c>
      <c r="F9" s="38">
        <v>96</v>
      </c>
      <c r="G9" s="38">
        <v>95</v>
      </c>
      <c r="H9" s="38">
        <v>90</v>
      </c>
      <c r="I9" s="38">
        <v>102</v>
      </c>
      <c r="J9" s="22">
        <v>120</v>
      </c>
      <c r="K9" s="22">
        <v>619</v>
      </c>
      <c r="L9" s="52">
        <v>334</v>
      </c>
      <c r="M9" s="52">
        <v>240</v>
      </c>
      <c r="N9" s="54"/>
      <c r="O9" s="54"/>
      <c r="P9" s="54"/>
      <c r="Q9" s="54"/>
      <c r="R9" s="2"/>
      <c r="S9" s="2"/>
    </row>
    <row r="10" ht="105" customHeight="1" spans="1:19">
      <c r="A10" s="55">
        <v>309</v>
      </c>
      <c r="B10" s="55" t="s">
        <v>28</v>
      </c>
      <c r="C10" s="56" t="str">
        <f>_xlfn.DISPIMG("ID_234C77166547483A9A1203CA266629D5",1)</f>
        <v>=DISPIMG("ID_234C77166547483A9A1203CA266629D5",1)</v>
      </c>
      <c r="D10" s="55" t="s">
        <v>29</v>
      </c>
      <c r="E10" s="28">
        <v>112</v>
      </c>
      <c r="F10" s="38">
        <v>80</v>
      </c>
      <c r="G10" s="38">
        <v>112</v>
      </c>
      <c r="H10" s="38">
        <v>80</v>
      </c>
      <c r="I10" s="38">
        <v>114</v>
      </c>
      <c r="J10" s="22">
        <v>120</v>
      </c>
      <c r="K10" s="22">
        <v>618</v>
      </c>
      <c r="L10" s="57">
        <v>360</v>
      </c>
      <c r="M10" s="58">
        <v>264</v>
      </c>
      <c r="N10" s="59"/>
      <c r="O10" s="59" t="s">
        <v>21</v>
      </c>
      <c r="P10" s="59"/>
      <c r="Q10" s="59"/>
      <c r="R10" s="2"/>
      <c r="S10" s="2"/>
    </row>
    <row r="11" ht="87.7" customHeight="1" spans="1:19">
      <c r="A11" s="60">
        <v>303</v>
      </c>
      <c r="B11" s="60" t="s">
        <v>125</v>
      </c>
      <c r="C11" s="61" t="str">
        <f>_xlfn.DISPIMG("ID_4578F0D9734E46AAAD6B129DFBA3C41E",1)</f>
        <v>=DISPIMG("ID_4578F0D9734E46AAAD6B129DFBA3C41E",1)</v>
      </c>
      <c r="D11" s="60" t="s">
        <v>211</v>
      </c>
      <c r="E11" s="28">
        <v>81</v>
      </c>
      <c r="F11" s="38">
        <v>106</v>
      </c>
      <c r="G11" s="38">
        <v>109</v>
      </c>
      <c r="H11" s="38">
        <v>112</v>
      </c>
      <c r="I11" s="38">
        <v>76</v>
      </c>
      <c r="J11" s="22">
        <v>130</v>
      </c>
      <c r="K11" s="22">
        <v>614</v>
      </c>
      <c r="L11" s="62">
        <v>276</v>
      </c>
      <c r="M11" s="62">
        <v>188</v>
      </c>
      <c r="N11" s="63"/>
      <c r="O11" s="63"/>
      <c r="P11" s="63"/>
      <c r="Q11" s="63"/>
      <c r="R11" s="2"/>
      <c r="S11" s="2"/>
    </row>
    <row r="12" ht="87.7" customHeight="1" spans="1:19">
      <c r="A12" s="16">
        <v>70</v>
      </c>
      <c r="B12" s="17" t="s">
        <v>17</v>
      </c>
      <c r="C12" s="18" t="str">
        <f>_xlfn.DISPIMG("ID_D89EEA9B95D74A7CB4C2AFA29315AA25",1)</f>
        <v>=DISPIMG("ID_D89EEA9B95D74A7CB4C2AFA29315AA25",1)</v>
      </c>
      <c r="D12" s="17" t="s">
        <v>237</v>
      </c>
      <c r="E12" s="28">
        <v>117</v>
      </c>
      <c r="F12" s="38">
        <v>85</v>
      </c>
      <c r="G12" s="38">
        <v>106</v>
      </c>
      <c r="H12" s="38">
        <v>87</v>
      </c>
      <c r="I12" s="38">
        <v>115</v>
      </c>
      <c r="J12" s="38">
        <v>101</v>
      </c>
      <c r="K12" s="22">
        <f>E12+F12+G12+H12+I12+J12</f>
        <v>611</v>
      </c>
      <c r="L12" s="23">
        <v>360</v>
      </c>
      <c r="M12" s="23">
        <v>266</v>
      </c>
      <c r="N12" s="24"/>
      <c r="O12" s="24" t="s">
        <v>21</v>
      </c>
      <c r="P12" s="24" t="s">
        <v>21</v>
      </c>
      <c r="Q12" s="24"/>
      <c r="R12" s="2"/>
      <c r="S12" s="2"/>
    </row>
    <row r="13" ht="87.7" customHeight="1" spans="1:19">
      <c r="A13" s="16">
        <v>70</v>
      </c>
      <c r="B13" s="17" t="s">
        <v>17</v>
      </c>
      <c r="C13" s="18" t="str">
        <f>_xlfn.DISPIMG("ID_D89EEA9B95D74A7CB4C2AFA29315AA25",1)</f>
        <v>=DISPIMG("ID_D89EEA9B95D74A7CB4C2AFA29315AA25",1)</v>
      </c>
      <c r="D13" s="17" t="s">
        <v>238</v>
      </c>
      <c r="E13" s="28">
        <v>118</v>
      </c>
      <c r="F13" s="38">
        <v>85</v>
      </c>
      <c r="G13" s="38">
        <v>106</v>
      </c>
      <c r="H13" s="38">
        <v>87</v>
      </c>
      <c r="I13" s="38">
        <v>114</v>
      </c>
      <c r="J13" s="38">
        <v>101</v>
      </c>
      <c r="K13" s="22">
        <f>E13+F13+G13+H13+I13+J13</f>
        <v>611</v>
      </c>
      <c r="L13" s="23">
        <v>360</v>
      </c>
      <c r="M13" s="23">
        <v>266</v>
      </c>
      <c r="N13" s="24"/>
      <c r="O13" s="24" t="s">
        <v>21</v>
      </c>
      <c r="P13" s="24" t="s">
        <v>21</v>
      </c>
      <c r="Q13" s="24"/>
      <c r="R13" s="2"/>
      <c r="S13" s="2"/>
    </row>
    <row r="14" ht="87.7" customHeight="1" spans="1:19">
      <c r="A14" s="49">
        <v>274</v>
      </c>
      <c r="B14" s="49" t="s">
        <v>57</v>
      </c>
      <c r="C14" s="50" t="str">
        <f>_xlfn.DISPIMG("ID_FBB67C47E8DB4D98A7183027680846DE",1)</f>
        <v>=DISPIMG("ID_FBB67C47E8DB4D98A7183027680846DE",1)</v>
      </c>
      <c r="D14" s="49" t="s">
        <v>172</v>
      </c>
      <c r="E14" s="28">
        <v>120</v>
      </c>
      <c r="F14" s="38">
        <v>100</v>
      </c>
      <c r="G14" s="38">
        <v>95</v>
      </c>
      <c r="H14" s="38">
        <v>80</v>
      </c>
      <c r="I14" s="38">
        <v>86</v>
      </c>
      <c r="J14" s="38">
        <v>130</v>
      </c>
      <c r="K14" s="22">
        <v>611</v>
      </c>
      <c r="L14" s="52">
        <v>298</v>
      </c>
      <c r="M14" s="52">
        <v>208</v>
      </c>
      <c r="N14" s="54"/>
      <c r="O14" s="54"/>
      <c r="P14" s="54" t="s">
        <v>21</v>
      </c>
      <c r="Q14" s="54"/>
      <c r="R14" s="2"/>
      <c r="S14" s="2"/>
    </row>
    <row r="15" ht="87.7" customHeight="1" spans="1:19">
      <c r="A15" s="64">
        <v>306</v>
      </c>
      <c r="B15" s="64" t="s">
        <v>38</v>
      </c>
      <c r="C15" s="65" t="str">
        <f>_xlfn.DISPIMG("ID_DE9963195420409EB8250AF83F4942AB",1)</f>
        <v>=DISPIMG("ID_DE9963195420409EB8250AF83F4942AB",1)</v>
      </c>
      <c r="D15" s="64" t="s">
        <v>173</v>
      </c>
      <c r="E15" s="28">
        <v>120</v>
      </c>
      <c r="F15" s="38">
        <v>93</v>
      </c>
      <c r="G15" s="38">
        <v>95</v>
      </c>
      <c r="H15" s="38">
        <v>92</v>
      </c>
      <c r="I15" s="38">
        <v>86</v>
      </c>
      <c r="J15" s="38">
        <v>124</v>
      </c>
      <c r="K15" s="22">
        <v>610</v>
      </c>
      <c r="L15" s="66">
        <v>298</v>
      </c>
      <c r="M15" s="66">
        <v>208</v>
      </c>
      <c r="N15" s="67" t="s">
        <v>21</v>
      </c>
      <c r="O15" s="67"/>
      <c r="P15" s="67"/>
      <c r="Q15" s="67"/>
      <c r="R15" s="2"/>
      <c r="S15" s="2"/>
    </row>
    <row r="16" ht="87.7" customHeight="1" spans="1:19">
      <c r="A16" s="49">
        <v>391</v>
      </c>
      <c r="B16" s="49" t="s">
        <v>57</v>
      </c>
      <c r="C16" s="50" t="str">
        <f>_xlfn.DISPIMG("ID_09CD23762A374A3C81C497504F6D16B2",1)</f>
        <v>=DISPIMG("ID_09CD23762A374A3C81C497504F6D16B2",1)</v>
      </c>
      <c r="D16" s="49" t="s">
        <v>195</v>
      </c>
      <c r="E16" s="28">
        <v>95</v>
      </c>
      <c r="F16" s="38">
        <v>80</v>
      </c>
      <c r="G16" s="38">
        <v>118</v>
      </c>
      <c r="H16" s="38">
        <v>110</v>
      </c>
      <c r="I16" s="38">
        <v>82</v>
      </c>
      <c r="J16" s="38">
        <v>120</v>
      </c>
      <c r="K16" s="22">
        <v>605</v>
      </c>
      <c r="L16" s="52">
        <v>290</v>
      </c>
      <c r="M16" s="52">
        <v>200</v>
      </c>
      <c r="N16" s="54"/>
      <c r="O16" s="54"/>
      <c r="P16" s="54" t="s">
        <v>21</v>
      </c>
      <c r="Q16" s="54"/>
      <c r="R16" s="2"/>
      <c r="S16" s="2"/>
    </row>
    <row r="17" ht="87.7" customHeight="1" spans="1:19">
      <c r="A17" s="68">
        <v>299</v>
      </c>
      <c r="B17" s="68" t="s">
        <v>115</v>
      </c>
      <c r="C17" s="69" t="str">
        <f>_xlfn.DISPIMG("ID_3BC29684F79C42D7A3D2E3A4C7027E6F",1)</f>
        <v>=DISPIMG("ID_3BC29684F79C42D7A3D2E3A4C7027E6F",1)</v>
      </c>
      <c r="D17" s="68" t="s">
        <v>156</v>
      </c>
      <c r="E17" s="28">
        <v>120</v>
      </c>
      <c r="F17" s="38">
        <v>100</v>
      </c>
      <c r="G17" s="38">
        <v>70</v>
      </c>
      <c r="H17" s="38">
        <v>90</v>
      </c>
      <c r="I17" s="38">
        <v>90</v>
      </c>
      <c r="J17" s="38">
        <v>130</v>
      </c>
      <c r="K17" s="22">
        <v>600</v>
      </c>
      <c r="L17" s="70">
        <v>307</v>
      </c>
      <c r="M17" s="70">
        <v>216</v>
      </c>
      <c r="N17" s="71"/>
      <c r="O17" s="71"/>
      <c r="P17" s="71"/>
      <c r="Q17" s="71"/>
      <c r="R17" s="2"/>
      <c r="S17" s="2"/>
    </row>
    <row r="18" ht="87.7" customHeight="1" spans="1:19">
      <c r="A18" s="64">
        <v>347</v>
      </c>
      <c r="B18" s="64" t="s">
        <v>38</v>
      </c>
      <c r="C18" s="65" t="str">
        <f>_xlfn.DISPIMG("ID_F816899F7FF04ABB8A0D11ADA6682AE9",1)</f>
        <v>=DISPIMG("ID_F816899F7FF04ABB8A0D11ADA6682AE9",1)</v>
      </c>
      <c r="D18" s="64" t="s">
        <v>157</v>
      </c>
      <c r="E18" s="28">
        <v>100</v>
      </c>
      <c r="F18" s="38">
        <v>73</v>
      </c>
      <c r="G18" s="38">
        <v>117</v>
      </c>
      <c r="H18" s="38">
        <v>95</v>
      </c>
      <c r="I18" s="38">
        <v>90</v>
      </c>
      <c r="J18" s="38">
        <v>125</v>
      </c>
      <c r="K18" s="22">
        <v>600</v>
      </c>
      <c r="L18" s="66">
        <v>307</v>
      </c>
      <c r="M18" s="66">
        <v>216</v>
      </c>
      <c r="N18" s="67" t="s">
        <v>21</v>
      </c>
      <c r="O18" s="67"/>
      <c r="P18" s="67"/>
      <c r="Q18" s="67"/>
      <c r="R18" s="2"/>
      <c r="S18" s="2"/>
    </row>
    <row r="19" ht="87.7" customHeight="1" spans="1:19">
      <c r="A19" s="55">
        <v>393</v>
      </c>
      <c r="B19" s="55" t="s">
        <v>28</v>
      </c>
      <c r="C19" s="56" t="str">
        <f>_xlfn.DISPIMG("ID_06A25767795B4E3B8B5F925145543D71",1)</f>
        <v>=DISPIMG("ID_06A25767795B4E3B8B5F925145543D71",1)</v>
      </c>
      <c r="D19" s="55" t="s">
        <v>160</v>
      </c>
      <c r="E19" s="28">
        <v>118</v>
      </c>
      <c r="F19" s="38">
        <v>95</v>
      </c>
      <c r="G19" s="38">
        <v>102</v>
      </c>
      <c r="H19" s="38">
        <v>75</v>
      </c>
      <c r="I19" s="38">
        <v>90</v>
      </c>
      <c r="J19" s="38">
        <v>120</v>
      </c>
      <c r="K19" s="22">
        <v>600</v>
      </c>
      <c r="L19" s="57">
        <v>307</v>
      </c>
      <c r="M19" s="57">
        <v>216</v>
      </c>
      <c r="N19" s="59" t="s">
        <v>21</v>
      </c>
      <c r="O19" s="59"/>
      <c r="P19" s="59"/>
      <c r="Q19" s="59"/>
      <c r="R19" s="2"/>
      <c r="S19" s="2"/>
    </row>
    <row r="20" ht="87.7" customHeight="1" spans="1:19">
      <c r="A20" s="72">
        <v>340</v>
      </c>
      <c r="B20" s="72" t="s">
        <v>45</v>
      </c>
      <c r="C20" s="73" t="str">
        <f>_xlfn.DISPIMG("ID_42F20B030B77418DA25C798CB983B607",1)</f>
        <v>=DISPIMG("ID_42F20B030B77418DA25C798CB983B607",1)</v>
      </c>
      <c r="D20" s="72" t="s">
        <v>185</v>
      </c>
      <c r="E20" s="28">
        <v>110</v>
      </c>
      <c r="F20" s="38">
        <v>90</v>
      </c>
      <c r="G20" s="38">
        <v>110</v>
      </c>
      <c r="H20" s="38">
        <v>90</v>
      </c>
      <c r="I20" s="38">
        <v>85</v>
      </c>
      <c r="J20" s="38">
        <v>110</v>
      </c>
      <c r="K20" s="22">
        <v>595</v>
      </c>
      <c r="L20" s="74">
        <v>296</v>
      </c>
      <c r="M20" s="74">
        <v>206</v>
      </c>
      <c r="N20" s="75"/>
      <c r="O20" s="75"/>
      <c r="P20" s="75"/>
      <c r="Q20" s="75" t="s">
        <v>21</v>
      </c>
      <c r="R20" s="2"/>
      <c r="S20" s="2"/>
    </row>
    <row r="21" ht="87.7" customHeight="1" spans="1:19">
      <c r="A21" s="64">
        <v>359</v>
      </c>
      <c r="B21" s="64" t="s">
        <v>38</v>
      </c>
      <c r="C21" s="65" t="str">
        <f>_xlfn.DISPIMG("ID_249AC7C551334F70B601CBACD86D774C",1)</f>
        <v>=DISPIMG("ID_249AC7C551334F70B601CBACD86D774C",1)</v>
      </c>
      <c r="D21" s="64" t="s">
        <v>158</v>
      </c>
      <c r="E21" s="28">
        <v>118</v>
      </c>
      <c r="F21" s="38">
        <v>94</v>
      </c>
      <c r="G21" s="38">
        <v>98</v>
      </c>
      <c r="H21" s="38">
        <v>82</v>
      </c>
      <c r="I21" s="38">
        <v>90</v>
      </c>
      <c r="J21" s="38">
        <v>110</v>
      </c>
      <c r="K21" s="22">
        <v>592</v>
      </c>
      <c r="L21" s="66">
        <v>307</v>
      </c>
      <c r="M21" s="66">
        <v>216</v>
      </c>
      <c r="N21" s="67"/>
      <c r="O21" s="67"/>
      <c r="P21" s="67"/>
      <c r="Q21" s="67"/>
      <c r="R21" s="2"/>
      <c r="S21" s="2"/>
    </row>
    <row r="22" ht="87.7" customHeight="1" spans="1:19">
      <c r="A22" s="76">
        <v>424</v>
      </c>
      <c r="B22" s="76" t="s">
        <v>150</v>
      </c>
      <c r="C22" s="77" t="str">
        <f>_xlfn.DISPIMG("ID_AB492C7B7ABD4246A16B99C8C1D44A21",1)</f>
        <v>=DISPIMG("ID_AB492C7B7ABD4246A16B99C8C1D44A21",1)</v>
      </c>
      <c r="D22" s="76" t="s">
        <v>187</v>
      </c>
      <c r="E22" s="28">
        <v>75</v>
      </c>
      <c r="F22" s="38">
        <v>99</v>
      </c>
      <c r="G22" s="38">
        <v>108</v>
      </c>
      <c r="H22" s="38">
        <v>103</v>
      </c>
      <c r="I22" s="38">
        <v>85</v>
      </c>
      <c r="J22" s="38">
        <v>122</v>
      </c>
      <c r="K22" s="22">
        <v>592</v>
      </c>
      <c r="L22" s="78">
        <v>296</v>
      </c>
      <c r="M22" s="78">
        <v>206</v>
      </c>
      <c r="N22" s="79"/>
      <c r="O22" s="79"/>
      <c r="P22" s="79" t="s">
        <v>21</v>
      </c>
      <c r="Q22" s="79"/>
      <c r="R22" s="2"/>
      <c r="S22" s="2"/>
    </row>
    <row r="23" ht="87.7" customHeight="1" spans="1:19">
      <c r="A23" s="80">
        <v>261</v>
      </c>
      <c r="B23" s="80" t="s">
        <v>52</v>
      </c>
      <c r="C23" s="81" t="str">
        <f>_xlfn.DISPIMG("ID_B12E446245A646DB90A0E84436710CE8",1)</f>
        <v>=DISPIMG("ID_B12E446245A646DB90A0E84436710CE8",1)</v>
      </c>
      <c r="D23" s="82" t="s">
        <v>53</v>
      </c>
      <c r="E23" s="28">
        <v>119</v>
      </c>
      <c r="F23" s="38">
        <v>87</v>
      </c>
      <c r="G23" s="38">
        <v>96</v>
      </c>
      <c r="H23" s="38">
        <v>78</v>
      </c>
      <c r="I23" s="38">
        <v>105</v>
      </c>
      <c r="J23" s="38">
        <v>105</v>
      </c>
      <c r="K23" s="22">
        <v>590</v>
      </c>
      <c r="L23" s="83">
        <v>340</v>
      </c>
      <c r="M23" s="83">
        <v>246</v>
      </c>
      <c r="N23" s="84"/>
      <c r="O23" s="84"/>
      <c r="P23" s="84"/>
      <c r="Q23" s="84"/>
      <c r="R23" s="2"/>
      <c r="S23" s="2"/>
    </row>
    <row r="24" ht="87.7" customHeight="1" spans="1:19">
      <c r="A24" s="80">
        <v>490</v>
      </c>
      <c r="B24" s="80" t="s">
        <v>52</v>
      </c>
      <c r="C24" s="81" t="str">
        <f>_xlfn.DISPIMG("ID_87430387BC7349619AFFBB9B7191FE31",1)</f>
        <v>=DISPIMG("ID_87430387BC7349619AFFBB9B7191FE31",1)</v>
      </c>
      <c r="D24" s="82" t="s">
        <v>81</v>
      </c>
      <c r="E24" s="28">
        <v>118</v>
      </c>
      <c r="F24" s="38">
        <v>88</v>
      </c>
      <c r="G24" s="38">
        <v>85</v>
      </c>
      <c r="H24" s="38">
        <v>88</v>
      </c>
      <c r="I24" s="38">
        <v>101</v>
      </c>
      <c r="J24" s="38">
        <v>110</v>
      </c>
      <c r="K24" s="22">
        <v>590</v>
      </c>
      <c r="L24" s="83">
        <v>331</v>
      </c>
      <c r="M24" s="83">
        <v>238</v>
      </c>
      <c r="N24" s="84" t="s">
        <v>21</v>
      </c>
      <c r="O24" s="84"/>
      <c r="P24" s="84"/>
      <c r="Q24" s="84"/>
      <c r="R24" s="2"/>
      <c r="S24" s="2"/>
    </row>
    <row r="25" ht="87.7" customHeight="1" spans="1:19">
      <c r="A25" s="85">
        <v>400</v>
      </c>
      <c r="B25" s="85" t="s">
        <v>57</v>
      </c>
      <c r="C25" s="86" t="str">
        <f>_xlfn.DISPIMG("ID_D6CAF35A691A4964BEA326C16A1F41A5",1)</f>
        <v>=DISPIMG("ID_D6CAF35A691A4964BEA326C16A1F41A5",1)</v>
      </c>
      <c r="D25" s="85" t="s">
        <v>104</v>
      </c>
      <c r="E25" s="28">
        <v>89</v>
      </c>
      <c r="F25" s="38">
        <v>79</v>
      </c>
      <c r="G25" s="38">
        <v>114</v>
      </c>
      <c r="H25" s="38">
        <v>101</v>
      </c>
      <c r="I25" s="38">
        <v>97</v>
      </c>
      <c r="J25" s="38">
        <v>110</v>
      </c>
      <c r="K25" s="22">
        <v>590</v>
      </c>
      <c r="L25" s="53">
        <v>323</v>
      </c>
      <c r="M25" s="53">
        <v>230</v>
      </c>
      <c r="N25" s="87"/>
      <c r="O25" s="87"/>
      <c r="P25" s="87"/>
      <c r="Q25" s="87"/>
      <c r="R25" s="2"/>
      <c r="S25" s="2"/>
    </row>
    <row r="26" ht="87.7" customHeight="1" spans="1:19">
      <c r="A26" s="88">
        <v>315</v>
      </c>
      <c r="B26" s="88" t="s">
        <v>106</v>
      </c>
      <c r="C26" s="89" t="str">
        <f>_xlfn.DISPIMG("ID_C93B8204F5544F269EBD8C5F9DC54666",1)</f>
        <v>=DISPIMG("ID_C93B8204F5544F269EBD8C5F9DC54666",1)</v>
      </c>
      <c r="D26" s="88" t="s">
        <v>107</v>
      </c>
      <c r="E26" s="28">
        <v>90</v>
      </c>
      <c r="F26" s="38">
        <v>84</v>
      </c>
      <c r="G26" s="38">
        <v>120</v>
      </c>
      <c r="H26" s="38">
        <v>95</v>
      </c>
      <c r="I26" s="38">
        <v>96</v>
      </c>
      <c r="J26" s="38">
        <v>105</v>
      </c>
      <c r="K26" s="22">
        <v>590</v>
      </c>
      <c r="L26" s="90">
        <v>320</v>
      </c>
      <c r="M26" s="90">
        <v>228</v>
      </c>
      <c r="N26" s="91"/>
      <c r="O26" s="91"/>
      <c r="P26" s="91"/>
      <c r="Q26" s="91"/>
      <c r="R26" s="2"/>
      <c r="S26" s="2"/>
    </row>
    <row r="27" ht="87.7" customHeight="1" spans="1:19">
      <c r="A27" s="92">
        <v>462</v>
      </c>
      <c r="B27" s="92" t="s">
        <v>121</v>
      </c>
      <c r="C27" s="93" t="str">
        <f>_xlfn.DISPIMG("ID_87F20231915843DD8663EB7B3EFBEDE8",1)</f>
        <v>=DISPIMG("ID_87F20231915843DD8663EB7B3EFBEDE8",1)</v>
      </c>
      <c r="D27" s="94" t="s">
        <v>122</v>
      </c>
      <c r="E27" s="28">
        <v>110</v>
      </c>
      <c r="F27" s="38">
        <v>82</v>
      </c>
      <c r="G27" s="38">
        <v>111</v>
      </c>
      <c r="H27" s="38">
        <v>83</v>
      </c>
      <c r="I27" s="38">
        <v>95</v>
      </c>
      <c r="J27" s="38">
        <v>109</v>
      </c>
      <c r="K27" s="22">
        <v>590</v>
      </c>
      <c r="L27" s="95">
        <v>318</v>
      </c>
      <c r="M27" s="95">
        <v>226</v>
      </c>
      <c r="N27" s="96"/>
      <c r="O27" s="96"/>
      <c r="P27" s="96"/>
      <c r="Q27" s="96"/>
      <c r="R27" s="2"/>
      <c r="S27" s="2"/>
    </row>
    <row r="28" ht="87.7" customHeight="1" spans="1:19">
      <c r="A28" s="97">
        <v>350</v>
      </c>
      <c r="B28" s="97" t="s">
        <v>71</v>
      </c>
      <c r="C28" s="98" t="str">
        <f>_xlfn.DISPIMG("ID_CF02AEB60F1C4AB2A54B32FD7D1DD601",1)</f>
        <v>=DISPIMG("ID_CF02AEB60F1C4AB2A54B32FD7D1DD601",1)</v>
      </c>
      <c r="D28" s="97" t="s">
        <v>144</v>
      </c>
      <c r="E28" s="28">
        <v>118</v>
      </c>
      <c r="F28" s="38">
        <v>91</v>
      </c>
      <c r="G28" s="38">
        <v>95</v>
      </c>
      <c r="H28" s="38">
        <v>85</v>
      </c>
      <c r="I28" s="38">
        <v>91</v>
      </c>
      <c r="J28" s="38">
        <v>110</v>
      </c>
      <c r="K28" s="22">
        <v>590</v>
      </c>
      <c r="L28" s="99">
        <v>309</v>
      </c>
      <c r="M28" s="99">
        <v>218</v>
      </c>
      <c r="N28" s="100"/>
      <c r="O28" s="100"/>
      <c r="P28" s="100"/>
      <c r="Q28" s="100"/>
      <c r="R28" s="2"/>
      <c r="S28" s="2"/>
    </row>
    <row r="29" ht="87.7" customHeight="1" spans="1:19">
      <c r="A29" s="101">
        <v>264</v>
      </c>
      <c r="B29" s="101" t="s">
        <v>86</v>
      </c>
      <c r="C29" s="102" t="str">
        <f>_xlfn.DISPIMG("ID_B02D8377A29B4223A725ACC3F7D2413D",1)</f>
        <v>=DISPIMG("ID_B02D8377A29B4223A725ACC3F7D2413D",1)</v>
      </c>
      <c r="D29" s="101" t="s">
        <v>154</v>
      </c>
      <c r="E29" s="28">
        <v>105</v>
      </c>
      <c r="F29" s="38">
        <v>80</v>
      </c>
      <c r="G29" s="38">
        <v>120</v>
      </c>
      <c r="H29" s="38">
        <v>85</v>
      </c>
      <c r="I29" s="38">
        <v>90</v>
      </c>
      <c r="J29" s="38">
        <v>110</v>
      </c>
      <c r="K29" s="22">
        <v>590</v>
      </c>
      <c r="L29" s="103">
        <v>307</v>
      </c>
      <c r="M29" s="103">
        <v>216</v>
      </c>
      <c r="N29" s="104" t="s">
        <v>21</v>
      </c>
      <c r="O29" s="104"/>
      <c r="P29" s="104"/>
      <c r="Q29" s="104"/>
      <c r="R29" s="2"/>
      <c r="S29" s="2"/>
    </row>
    <row r="30" ht="87.7" customHeight="1" spans="1:19">
      <c r="A30" s="105">
        <v>432</v>
      </c>
      <c r="B30" s="105" t="s">
        <v>52</v>
      </c>
      <c r="C30" s="106" t="str">
        <f>_xlfn.DISPIMG("ID_8803C8F4F55C47BDAD981746A7667890",1)</f>
        <v>=DISPIMG("ID_8803C8F4F55C47BDAD981746A7667890",1)</v>
      </c>
      <c r="D30" s="105" t="s">
        <v>199</v>
      </c>
      <c r="E30" s="28">
        <v>118</v>
      </c>
      <c r="F30" s="38">
        <v>103</v>
      </c>
      <c r="G30" s="38">
        <v>87</v>
      </c>
      <c r="H30" s="38">
        <v>87</v>
      </c>
      <c r="I30" s="38">
        <v>81</v>
      </c>
      <c r="J30" s="38">
        <v>114</v>
      </c>
      <c r="K30" s="22">
        <v>590</v>
      </c>
      <c r="L30" s="107">
        <v>287</v>
      </c>
      <c r="M30" s="107">
        <v>198</v>
      </c>
      <c r="N30" s="108" t="s">
        <v>21</v>
      </c>
      <c r="O30" s="108"/>
      <c r="P30" s="108"/>
      <c r="Q30" s="108"/>
      <c r="R30" s="2"/>
      <c r="S30" s="2"/>
    </row>
    <row r="31" ht="87.7" customHeight="1" spans="1:19">
      <c r="A31" s="109">
        <v>256</v>
      </c>
      <c r="B31" s="109" t="s">
        <v>71</v>
      </c>
      <c r="C31" s="110" t="str">
        <f>_xlfn.DISPIMG("ID_197E0AAAFBA540AFB085001A2005F983",1)</f>
        <v>=DISPIMG("ID_197E0AAAFBA540AFB085001A2005F983",1)</v>
      </c>
      <c r="D31" s="109" t="s">
        <v>72</v>
      </c>
      <c r="E31" s="28">
        <v>94</v>
      </c>
      <c r="F31" s="38">
        <v>88</v>
      </c>
      <c r="G31" s="38">
        <v>115</v>
      </c>
      <c r="H31" s="38">
        <v>90</v>
      </c>
      <c r="I31" s="38">
        <v>102</v>
      </c>
      <c r="J31" s="38">
        <v>100</v>
      </c>
      <c r="K31" s="22">
        <v>589</v>
      </c>
      <c r="L31" s="111">
        <v>334</v>
      </c>
      <c r="M31" s="111">
        <v>240</v>
      </c>
      <c r="N31" s="112"/>
      <c r="O31" s="112"/>
      <c r="P31" s="112"/>
      <c r="Q31" s="112"/>
      <c r="R31" s="2"/>
      <c r="S31" s="2"/>
    </row>
    <row r="32" ht="87.7" customHeight="1" spans="1:19">
      <c r="A32" s="101">
        <v>297</v>
      </c>
      <c r="B32" s="101" t="s">
        <v>86</v>
      </c>
      <c r="C32" s="102" t="str">
        <f>_xlfn.DISPIMG("ID_472F1567CDC94C20932192B1D0B49DE7",1)</f>
        <v>=DISPIMG("ID_472F1567CDC94C20932192B1D0B49DE7",1)</v>
      </c>
      <c r="D32" s="101" t="s">
        <v>88</v>
      </c>
      <c r="E32" s="28">
        <v>110</v>
      </c>
      <c r="F32" s="38">
        <v>86</v>
      </c>
      <c r="G32" s="38">
        <v>106</v>
      </c>
      <c r="H32" s="38">
        <v>80</v>
      </c>
      <c r="I32" s="38">
        <v>100</v>
      </c>
      <c r="J32" s="38">
        <v>106</v>
      </c>
      <c r="K32" s="22">
        <v>588</v>
      </c>
      <c r="L32" s="103">
        <v>329</v>
      </c>
      <c r="M32" s="103">
        <v>236</v>
      </c>
      <c r="N32" s="104" t="s">
        <v>21</v>
      </c>
      <c r="O32" s="104"/>
      <c r="P32" s="104"/>
      <c r="Q32" s="104"/>
      <c r="R32" s="2"/>
      <c r="S32" s="2"/>
    </row>
    <row r="33" ht="87.7" customHeight="1" spans="1:19">
      <c r="A33" s="105">
        <v>405</v>
      </c>
      <c r="B33" s="105" t="s">
        <v>52</v>
      </c>
      <c r="C33" s="113" t="str">
        <f>_xlfn.DISPIMG("ID_BA1471220E3A4CC5B0CD00CD6A83DF45",1)</f>
        <v>=DISPIMG("ID_BA1471220E3A4CC5B0CD00CD6A83DF45",1)</v>
      </c>
      <c r="D33" s="105" t="s">
        <v>208</v>
      </c>
      <c r="E33" s="28">
        <v>100</v>
      </c>
      <c r="F33" s="38">
        <v>120</v>
      </c>
      <c r="G33" s="38">
        <v>77</v>
      </c>
      <c r="H33" s="38">
        <v>80</v>
      </c>
      <c r="I33" s="38">
        <v>80</v>
      </c>
      <c r="J33" s="38">
        <v>130</v>
      </c>
      <c r="K33" s="22">
        <v>587</v>
      </c>
      <c r="L33" s="107">
        <v>285</v>
      </c>
      <c r="M33" s="107">
        <v>196</v>
      </c>
      <c r="N33" s="108" t="s">
        <v>21</v>
      </c>
      <c r="O33" s="108"/>
      <c r="P33" s="108"/>
      <c r="Q33" s="108"/>
      <c r="R33" s="2"/>
      <c r="S33" s="2"/>
    </row>
    <row r="34" ht="87.7" customHeight="1" spans="1:19">
      <c r="A34" s="114">
        <v>343</v>
      </c>
      <c r="B34" s="114" t="s">
        <v>90</v>
      </c>
      <c r="C34" s="115" t="str">
        <f>_xlfn.DISPIMG("ID_33230FC5AC31453AA8D7880A31996769",1)</f>
        <v>=DISPIMG("ID_33230FC5AC31453AA8D7880A31996769",1)</v>
      </c>
      <c r="D34" s="114" t="s">
        <v>91</v>
      </c>
      <c r="E34" s="28">
        <v>101</v>
      </c>
      <c r="F34" s="38">
        <v>82</v>
      </c>
      <c r="G34" s="38">
        <v>110</v>
      </c>
      <c r="H34" s="38">
        <v>88</v>
      </c>
      <c r="I34" s="38">
        <v>100</v>
      </c>
      <c r="J34" s="38">
        <v>105</v>
      </c>
      <c r="K34" s="22">
        <v>586</v>
      </c>
      <c r="L34" s="116">
        <v>329</v>
      </c>
      <c r="M34" s="116">
        <v>236</v>
      </c>
      <c r="N34" s="117"/>
      <c r="O34" s="117" t="s">
        <v>21</v>
      </c>
      <c r="P34" s="117"/>
      <c r="Q34" s="117"/>
      <c r="R34" s="2"/>
      <c r="S34" s="2"/>
    </row>
    <row r="35" ht="87.7" customHeight="1" spans="1:19">
      <c r="A35" s="118">
        <v>271</v>
      </c>
      <c r="B35" s="118" t="s">
        <v>115</v>
      </c>
      <c r="C35" s="119" t="str">
        <f>_xlfn.DISPIMG("ID_B21B037D86D04CBAAF36D16C4C7EDCD1",1)</f>
        <v>=DISPIMG("ID_B21B037D86D04CBAAF36D16C4C7EDCD1",1)</v>
      </c>
      <c r="D35" s="118" t="s">
        <v>182</v>
      </c>
      <c r="E35" s="28">
        <v>110</v>
      </c>
      <c r="F35" s="38">
        <v>105</v>
      </c>
      <c r="G35" s="38">
        <v>75</v>
      </c>
      <c r="H35" s="38">
        <v>90</v>
      </c>
      <c r="I35" s="38">
        <v>85</v>
      </c>
      <c r="J35" s="38">
        <v>120</v>
      </c>
      <c r="K35" s="22">
        <v>585</v>
      </c>
      <c r="L35" s="120">
        <v>296</v>
      </c>
      <c r="M35" s="120">
        <v>206</v>
      </c>
      <c r="N35" s="121" t="s">
        <v>21</v>
      </c>
      <c r="O35" s="121" t="s">
        <v>21</v>
      </c>
      <c r="P35" s="121"/>
      <c r="Q35" s="121"/>
      <c r="R35" s="2"/>
      <c r="S35" s="2"/>
    </row>
    <row r="36" ht="87.7" customHeight="1" spans="1:19">
      <c r="A36" s="16">
        <v>403</v>
      </c>
      <c r="B36" s="16" t="s">
        <v>17</v>
      </c>
      <c r="C36" s="18" t="str">
        <f>_xlfn.DISPIMG("ID_4BFDE43A80124CC6A9839F55A8035159",1)</f>
        <v>=DISPIMG("ID_4BFDE43A80124CC6A9839F55A8035159",1)</v>
      </c>
      <c r="D36" s="16" t="s">
        <v>161</v>
      </c>
      <c r="E36" s="28">
        <v>120</v>
      </c>
      <c r="F36" s="38">
        <v>95</v>
      </c>
      <c r="G36" s="38">
        <v>77</v>
      </c>
      <c r="H36" s="38">
        <v>77</v>
      </c>
      <c r="I36" s="38">
        <v>90</v>
      </c>
      <c r="J36" s="38">
        <v>125</v>
      </c>
      <c r="K36" s="22">
        <v>584</v>
      </c>
      <c r="L36" s="23">
        <v>307</v>
      </c>
      <c r="M36" s="23">
        <v>216</v>
      </c>
      <c r="N36" s="24"/>
      <c r="O36" s="24"/>
      <c r="P36" s="24"/>
      <c r="Q36" s="24"/>
      <c r="R36" s="2"/>
      <c r="S36" s="2"/>
    </row>
    <row r="37" ht="87.7" customHeight="1" spans="1:19">
      <c r="A37" s="101">
        <v>353</v>
      </c>
      <c r="B37" s="101" t="s">
        <v>86</v>
      </c>
      <c r="C37" s="102" t="str">
        <f>_xlfn.DISPIMG("ID_8674A893591146D8A1DE313B9494F8EB",1)</f>
        <v>=DISPIMG("ID_8674A893591146D8A1DE313B9494F8EB",1)</v>
      </c>
      <c r="D37" s="122" t="s">
        <v>118</v>
      </c>
      <c r="E37" s="28">
        <v>88</v>
      </c>
      <c r="F37" s="38">
        <v>104</v>
      </c>
      <c r="G37" s="38">
        <v>84</v>
      </c>
      <c r="H37" s="38">
        <v>104</v>
      </c>
      <c r="I37" s="38">
        <v>95</v>
      </c>
      <c r="J37" s="38">
        <v>108</v>
      </c>
      <c r="K37" s="22">
        <v>583</v>
      </c>
      <c r="L37" s="103">
        <v>318</v>
      </c>
      <c r="M37" s="103">
        <v>226</v>
      </c>
      <c r="N37" s="104"/>
      <c r="O37" s="104"/>
      <c r="P37" s="104"/>
      <c r="Q37" s="104" t="s">
        <v>21</v>
      </c>
      <c r="R37" s="2"/>
      <c r="S37" s="2"/>
    </row>
    <row r="38" ht="87.7" customHeight="1" spans="1:19">
      <c r="A38" s="118">
        <v>318</v>
      </c>
      <c r="B38" s="118" t="s">
        <v>115</v>
      </c>
      <c r="C38" s="119" t="str">
        <f>_xlfn.DISPIMG("ID_BA2AF0DE7B3143D5969E0557F2FB3C77",1)</f>
        <v>=DISPIMG("ID_BA2AF0DE7B3143D5969E0557F2FB3C77",1)</v>
      </c>
      <c r="D38" s="118" t="s">
        <v>116</v>
      </c>
      <c r="E38" s="28">
        <v>117</v>
      </c>
      <c r="F38" s="38">
        <v>100</v>
      </c>
      <c r="G38" s="38">
        <v>75</v>
      </c>
      <c r="H38" s="38">
        <v>80</v>
      </c>
      <c r="I38" s="38">
        <v>95</v>
      </c>
      <c r="J38" s="38">
        <v>115</v>
      </c>
      <c r="K38" s="22">
        <v>582</v>
      </c>
      <c r="L38" s="120">
        <v>318</v>
      </c>
      <c r="M38" s="120">
        <v>226</v>
      </c>
      <c r="N38" s="121"/>
      <c r="O38" s="121"/>
      <c r="P38" s="121"/>
      <c r="Q38" s="121" t="s">
        <v>21</v>
      </c>
      <c r="R38" s="2"/>
      <c r="S38" s="2"/>
    </row>
    <row r="39" ht="87.7" customHeight="1" spans="1:19">
      <c r="A39" s="123">
        <v>421</v>
      </c>
      <c r="B39" s="123" t="s">
        <v>41</v>
      </c>
      <c r="C39" s="124" t="str">
        <f>_xlfn.DISPIMG("ID_2F627052FB1E4CAF85E218B09D236866",1)</f>
        <v>=DISPIMG("ID_2F627052FB1E4CAF85E218B09D236866",1)</v>
      </c>
      <c r="D39" s="123" t="s">
        <v>69</v>
      </c>
      <c r="E39" s="28">
        <v>79</v>
      </c>
      <c r="F39" s="38">
        <v>91</v>
      </c>
      <c r="G39" s="38">
        <v>112</v>
      </c>
      <c r="H39" s="38">
        <v>94</v>
      </c>
      <c r="I39" s="38">
        <v>103</v>
      </c>
      <c r="J39" s="38">
        <v>102</v>
      </c>
      <c r="K39" s="22">
        <v>581</v>
      </c>
      <c r="L39" s="125">
        <v>336</v>
      </c>
      <c r="M39" s="125">
        <v>242</v>
      </c>
      <c r="N39" s="126" t="s">
        <v>21</v>
      </c>
      <c r="O39" s="126"/>
      <c r="P39" s="126"/>
      <c r="Q39" s="126"/>
      <c r="R39" s="2"/>
      <c r="S39" s="2"/>
    </row>
    <row r="40" ht="87.7" customHeight="1" spans="1:19">
      <c r="A40" s="127">
        <v>324</v>
      </c>
      <c r="B40" s="127" t="s">
        <v>55</v>
      </c>
      <c r="C40" s="128" t="str">
        <f>_xlfn.DISPIMG("ID_B8DCD42368F34AD4837D5A489F5DD18F",1)</f>
        <v>=DISPIMG("ID_B8DCD42368F34AD4837D5A489F5DD18F",1)</v>
      </c>
      <c r="D40" s="127" t="s">
        <v>89</v>
      </c>
      <c r="E40" s="28">
        <v>94</v>
      </c>
      <c r="F40" s="38">
        <v>88</v>
      </c>
      <c r="G40" s="38">
        <v>111</v>
      </c>
      <c r="H40" s="38">
        <v>87</v>
      </c>
      <c r="I40" s="38">
        <v>100</v>
      </c>
      <c r="J40" s="38">
        <v>101</v>
      </c>
      <c r="K40" s="22">
        <v>581</v>
      </c>
      <c r="L40" s="129">
        <v>329</v>
      </c>
      <c r="M40" s="129">
        <v>236</v>
      </c>
      <c r="N40" s="130" t="s">
        <v>21</v>
      </c>
      <c r="O40" s="130"/>
      <c r="P40" s="130"/>
      <c r="Q40" s="130" t="s">
        <v>21</v>
      </c>
      <c r="R40" s="2"/>
      <c r="S40" s="2"/>
    </row>
    <row r="41" ht="87.7" customHeight="1" spans="1:19">
      <c r="A41" s="131">
        <v>487</v>
      </c>
      <c r="B41" s="131" t="s">
        <v>43</v>
      </c>
      <c r="C41" s="132" t="str">
        <f>_xlfn.DISPIMG("ID_FE9A83DCF5DF4B04B685F76B2ADDFB94",1)</f>
        <v>=DISPIMG("ID_FE9A83DCF5DF4B04B685F76B2ADDFB94",1)</v>
      </c>
      <c r="D41" s="133" t="s">
        <v>44</v>
      </c>
      <c r="E41" s="28">
        <v>105</v>
      </c>
      <c r="F41" s="38">
        <v>80</v>
      </c>
      <c r="G41" s="38">
        <v>110</v>
      </c>
      <c r="H41" s="38">
        <v>78</v>
      </c>
      <c r="I41" s="38">
        <v>106</v>
      </c>
      <c r="J41" s="38">
        <v>101</v>
      </c>
      <c r="K41" s="22">
        <v>580</v>
      </c>
      <c r="L41" s="134">
        <v>342</v>
      </c>
      <c r="M41" s="134">
        <v>248</v>
      </c>
      <c r="N41" s="135" t="s">
        <v>21</v>
      </c>
      <c r="O41" s="135"/>
      <c r="P41" s="135"/>
      <c r="Q41" s="135"/>
      <c r="R41" s="2"/>
      <c r="S41" s="2"/>
    </row>
    <row r="42" ht="87.7" customHeight="1" spans="1:19">
      <c r="A42" s="80">
        <v>272</v>
      </c>
      <c r="B42" s="80" t="s">
        <v>52</v>
      </c>
      <c r="C42" s="81" t="str">
        <f>_xlfn.DISPIMG("ID_C1348CDA08E049C9A1A49DC47353E9A2",1)</f>
        <v>=DISPIMG("ID_C1348CDA08E049C9A1A49DC47353E9A2",1)</v>
      </c>
      <c r="D42" s="80" t="s">
        <v>67</v>
      </c>
      <c r="E42" s="28">
        <v>115</v>
      </c>
      <c r="F42" s="38">
        <v>90</v>
      </c>
      <c r="G42" s="38">
        <v>85</v>
      </c>
      <c r="H42" s="38">
        <v>72</v>
      </c>
      <c r="I42" s="38">
        <v>103</v>
      </c>
      <c r="J42" s="38">
        <v>115</v>
      </c>
      <c r="K42" s="22">
        <v>580</v>
      </c>
      <c r="L42" s="83">
        <v>336</v>
      </c>
      <c r="M42" s="83">
        <v>242</v>
      </c>
      <c r="N42" s="84" t="s">
        <v>21</v>
      </c>
      <c r="O42" s="84"/>
      <c r="P42" s="84"/>
      <c r="Q42" s="84"/>
      <c r="R42" s="2"/>
      <c r="S42" s="2"/>
    </row>
    <row r="43" ht="87.7" customHeight="1" spans="1:19">
      <c r="A43" s="136">
        <v>270</v>
      </c>
      <c r="B43" s="136" t="s">
        <v>86</v>
      </c>
      <c r="C43" s="137" t="str">
        <f>_xlfn.DISPIMG("ID_18A8913FD390443C9070F87CB8E67D57",1)</f>
        <v>=DISPIMG("ID_18A8913FD390443C9070F87CB8E67D57",1)</v>
      </c>
      <c r="D43" s="138" t="s">
        <v>87</v>
      </c>
      <c r="E43" s="28">
        <v>90</v>
      </c>
      <c r="F43" s="38">
        <v>80</v>
      </c>
      <c r="G43" s="38">
        <v>110</v>
      </c>
      <c r="H43" s="38">
        <v>95</v>
      </c>
      <c r="I43" s="38">
        <v>100</v>
      </c>
      <c r="J43" s="38">
        <v>105</v>
      </c>
      <c r="K43" s="22">
        <v>580</v>
      </c>
      <c r="L43" s="139">
        <v>329</v>
      </c>
      <c r="M43" s="139">
        <v>236</v>
      </c>
      <c r="N43" s="140" t="s">
        <v>21</v>
      </c>
      <c r="O43" s="140"/>
      <c r="P43" s="140"/>
      <c r="Q43" s="140"/>
      <c r="R43" s="2"/>
      <c r="S43" s="2"/>
    </row>
    <row r="44" ht="87.7" customHeight="1" spans="1:19">
      <c r="A44" s="141">
        <v>493</v>
      </c>
      <c r="B44" s="141" t="s">
        <v>150</v>
      </c>
      <c r="C44" s="142" t="str">
        <f>_xlfn.DISPIMG("ID_5FBC650468B44D71A00A1B4A00201ED0",1)</f>
        <v>=DISPIMG("ID_5FBC650468B44D71A00A1B4A00201ED0",1)</v>
      </c>
      <c r="D44" s="143" t="s">
        <v>151</v>
      </c>
      <c r="E44" s="28">
        <v>105</v>
      </c>
      <c r="F44" s="38">
        <v>78</v>
      </c>
      <c r="G44" s="38">
        <v>108</v>
      </c>
      <c r="H44" s="38">
        <v>88</v>
      </c>
      <c r="I44" s="38">
        <v>91</v>
      </c>
      <c r="J44" s="38">
        <v>110</v>
      </c>
      <c r="K44" s="22">
        <v>580</v>
      </c>
      <c r="L44" s="144">
        <v>309</v>
      </c>
      <c r="M44" s="144">
        <v>218</v>
      </c>
      <c r="N44" s="145"/>
      <c r="O44" s="145"/>
      <c r="P44" s="145"/>
      <c r="Q44" s="145"/>
      <c r="R44" s="2"/>
      <c r="S44" s="2"/>
    </row>
    <row r="45" ht="87.7" customHeight="1" spans="1:19">
      <c r="A45" s="109">
        <v>384</v>
      </c>
      <c r="B45" s="109" t="s">
        <v>71</v>
      </c>
      <c r="C45" s="110" t="str">
        <f>_xlfn.DISPIMG("ID_CB9E9EE2A6644AEB9B7571D07B401835",1)</f>
        <v>=DISPIMG("ID_CB9E9EE2A6644AEB9B7571D07B401835",1)</v>
      </c>
      <c r="D45" s="109" t="s">
        <v>174</v>
      </c>
      <c r="E45" s="28">
        <v>102</v>
      </c>
      <c r="F45" s="38">
        <v>102</v>
      </c>
      <c r="G45" s="38">
        <v>85</v>
      </c>
      <c r="H45" s="38">
        <v>85</v>
      </c>
      <c r="I45" s="38">
        <v>86</v>
      </c>
      <c r="J45" s="38">
        <v>120</v>
      </c>
      <c r="K45" s="22">
        <v>580</v>
      </c>
      <c r="L45" s="111">
        <v>298</v>
      </c>
      <c r="M45" s="111">
        <v>208</v>
      </c>
      <c r="N45" s="112"/>
      <c r="O45" s="112" t="s">
        <v>21</v>
      </c>
      <c r="P45" s="112"/>
      <c r="Q45" s="112"/>
      <c r="R45" s="2"/>
      <c r="S45" s="2"/>
    </row>
    <row r="46" ht="87.7" customHeight="1" spans="1:19">
      <c r="A46" s="146">
        <v>444</v>
      </c>
      <c r="B46" s="146" t="s">
        <v>125</v>
      </c>
      <c r="C46" s="147" t="str">
        <f>_xlfn.DISPIMG("ID_E6DF582CCFA24608BEB8DF50B01A8DB0",1)</f>
        <v>=DISPIMG("ID_E6DF582CCFA24608BEB8DF50B01A8DB0",1)</v>
      </c>
      <c r="D46" s="146" t="s">
        <v>126</v>
      </c>
      <c r="E46" s="28">
        <v>110</v>
      </c>
      <c r="F46" s="38">
        <v>83</v>
      </c>
      <c r="G46" s="38">
        <v>107</v>
      </c>
      <c r="H46" s="38">
        <v>84</v>
      </c>
      <c r="I46" s="38">
        <v>94</v>
      </c>
      <c r="J46" s="38">
        <v>100</v>
      </c>
      <c r="K46" s="22">
        <v>578</v>
      </c>
      <c r="L46" s="148">
        <v>316</v>
      </c>
      <c r="M46" s="148">
        <v>224</v>
      </c>
      <c r="N46" s="149" t="s">
        <v>21</v>
      </c>
      <c r="O46" s="149"/>
      <c r="P46" s="149"/>
      <c r="Q46" s="149"/>
      <c r="R46" s="2"/>
      <c r="S46" s="2"/>
    </row>
    <row r="47" ht="87.7" customHeight="1" spans="1:19">
      <c r="A47" s="118">
        <v>292</v>
      </c>
      <c r="B47" s="118" t="s">
        <v>115</v>
      </c>
      <c r="C47" s="119" t="str">
        <f>_xlfn.DISPIMG("ID_211C826BFC89469FB50D93E93F30491D",1)</f>
        <v>=DISPIMG("ID_211C826BFC89469FB50D93E93F30491D",1)</v>
      </c>
      <c r="D47" s="118" t="s">
        <v>183</v>
      </c>
      <c r="E47" s="28">
        <v>101</v>
      </c>
      <c r="F47" s="38">
        <v>82</v>
      </c>
      <c r="G47" s="38">
        <v>98</v>
      </c>
      <c r="H47" s="38">
        <v>82</v>
      </c>
      <c r="I47" s="38">
        <v>85</v>
      </c>
      <c r="J47" s="38">
        <v>130</v>
      </c>
      <c r="K47" s="22">
        <v>578</v>
      </c>
      <c r="L47" s="120">
        <v>296</v>
      </c>
      <c r="M47" s="120">
        <v>206</v>
      </c>
      <c r="N47" s="121"/>
      <c r="O47" s="121"/>
      <c r="P47" s="121"/>
      <c r="Q47" s="121"/>
      <c r="R47" s="2"/>
      <c r="S47" s="2"/>
    </row>
    <row r="48" ht="87.7" customHeight="1" spans="1:19">
      <c r="A48" s="127">
        <v>477</v>
      </c>
      <c r="B48" s="127" t="s">
        <v>55</v>
      </c>
      <c r="C48" s="128" t="str">
        <f>_xlfn.DISPIMG("ID_D6D6868653C14F11BF2B3A1437267A31",1)</f>
        <v>=DISPIMG("ID_D6D6868653C14F11BF2B3A1437267A31",1)</v>
      </c>
      <c r="D48" s="150" t="s">
        <v>66</v>
      </c>
      <c r="E48" s="28">
        <v>120</v>
      </c>
      <c r="F48" s="38">
        <v>85</v>
      </c>
      <c r="G48" s="38">
        <v>83</v>
      </c>
      <c r="H48" s="38">
        <v>80</v>
      </c>
      <c r="I48" s="38">
        <v>104</v>
      </c>
      <c r="J48" s="38">
        <v>105</v>
      </c>
      <c r="K48" s="22">
        <v>577</v>
      </c>
      <c r="L48" s="129">
        <v>338</v>
      </c>
      <c r="M48" s="129">
        <v>244</v>
      </c>
      <c r="N48" s="130"/>
      <c r="O48" s="130"/>
      <c r="P48" s="130"/>
      <c r="Q48" s="130" t="s">
        <v>21</v>
      </c>
      <c r="R48" s="2"/>
      <c r="S48" s="2"/>
    </row>
    <row r="49" ht="87.7" customHeight="1" spans="1:19">
      <c r="A49" s="151">
        <v>468</v>
      </c>
      <c r="B49" s="151" t="s">
        <v>36</v>
      </c>
      <c r="C49" s="152" t="str">
        <f>_xlfn.DISPIMG("ID_1AFEC3AEF72A4A2E9576EA1A96BF717B",1)</f>
        <v>=DISPIMG("ID_1AFEC3AEF72A4A2E9576EA1A96BF717B",1)</v>
      </c>
      <c r="D49" s="151" t="s">
        <v>37</v>
      </c>
      <c r="E49" s="28">
        <v>91</v>
      </c>
      <c r="F49" s="38">
        <v>79</v>
      </c>
      <c r="G49" s="38">
        <v>114</v>
      </c>
      <c r="H49" s="38">
        <v>82</v>
      </c>
      <c r="I49" s="38">
        <v>108</v>
      </c>
      <c r="J49" s="38">
        <v>102</v>
      </c>
      <c r="K49" s="22">
        <v>576</v>
      </c>
      <c r="L49" s="153">
        <v>347</v>
      </c>
      <c r="M49" s="153">
        <v>252</v>
      </c>
      <c r="N49" s="154" t="s">
        <v>21</v>
      </c>
      <c r="O49" s="154"/>
      <c r="P49" s="154"/>
      <c r="Q49" s="154"/>
      <c r="R49" s="2"/>
      <c r="S49" s="2"/>
    </row>
    <row r="50" ht="87.7" customHeight="1" spans="1:19">
      <c r="A50" s="123">
        <v>283</v>
      </c>
      <c r="B50" s="123" t="s">
        <v>41</v>
      </c>
      <c r="C50" s="124" t="str">
        <f>_xlfn.DISPIMG("ID_32438FA34629475481B7FECB98BB7174",1)</f>
        <v>=DISPIMG("ID_32438FA34629475481B7FECB98BB7174",1)</v>
      </c>
      <c r="D50" s="123" t="s">
        <v>42</v>
      </c>
      <c r="E50" s="28">
        <v>101</v>
      </c>
      <c r="F50" s="38">
        <v>77</v>
      </c>
      <c r="G50" s="38">
        <v>101</v>
      </c>
      <c r="H50" s="38">
        <v>85</v>
      </c>
      <c r="I50" s="38">
        <v>106</v>
      </c>
      <c r="J50" s="38">
        <v>106</v>
      </c>
      <c r="K50" s="22">
        <v>576</v>
      </c>
      <c r="L50" s="125">
        <v>342</v>
      </c>
      <c r="M50" s="125">
        <v>248</v>
      </c>
      <c r="N50" s="126"/>
      <c r="O50" s="126" t="s">
        <v>21</v>
      </c>
      <c r="P50" s="126"/>
      <c r="Q50" s="126"/>
      <c r="R50" s="2"/>
      <c r="S50" s="2"/>
    </row>
    <row r="51" ht="87.7" customHeight="1" spans="1:19">
      <c r="A51" s="109">
        <v>266</v>
      </c>
      <c r="B51" s="109" t="s">
        <v>71</v>
      </c>
      <c r="C51" s="110" t="str">
        <f>_xlfn.DISPIMG("ID_DBCC8711B5AC49FF99C8C830D4A9994C",1)</f>
        <v>=DISPIMG("ID_DBCC8711B5AC49FF99C8C830D4A9994C",1)</v>
      </c>
      <c r="D51" s="109" t="s">
        <v>95</v>
      </c>
      <c r="E51" s="28">
        <v>108</v>
      </c>
      <c r="F51" s="38">
        <v>92</v>
      </c>
      <c r="G51" s="38">
        <v>86</v>
      </c>
      <c r="H51" s="38">
        <v>84</v>
      </c>
      <c r="I51" s="38">
        <v>99</v>
      </c>
      <c r="J51" s="38">
        <v>107</v>
      </c>
      <c r="K51" s="22">
        <v>576</v>
      </c>
      <c r="L51" s="111">
        <v>327</v>
      </c>
      <c r="M51" s="111">
        <v>234</v>
      </c>
      <c r="N51" s="112" t="s">
        <v>21</v>
      </c>
      <c r="O51" s="112"/>
      <c r="P51" s="112"/>
      <c r="Q51" s="112"/>
      <c r="R51" s="2"/>
      <c r="S51" s="2"/>
    </row>
    <row r="52" ht="87.7" customHeight="1" spans="1:19">
      <c r="A52" s="68">
        <v>259</v>
      </c>
      <c r="B52" s="68" t="s">
        <v>115</v>
      </c>
      <c r="C52" s="69" t="str">
        <f>_xlfn.DISPIMG("ID_13D087002BF0422E9A7526112B445309",1)</f>
        <v>=DISPIMG("ID_13D087002BF0422E9A7526112B445309",1)</v>
      </c>
      <c r="D52" s="68" t="s">
        <v>207</v>
      </c>
      <c r="E52" s="28">
        <v>107</v>
      </c>
      <c r="F52" s="38">
        <v>107</v>
      </c>
      <c r="G52" s="38">
        <v>76</v>
      </c>
      <c r="H52" s="38">
        <v>86</v>
      </c>
      <c r="I52" s="38">
        <v>80</v>
      </c>
      <c r="J52" s="38">
        <v>120</v>
      </c>
      <c r="K52" s="22">
        <v>576</v>
      </c>
      <c r="L52" s="70">
        <v>285</v>
      </c>
      <c r="M52" s="70">
        <v>196</v>
      </c>
      <c r="N52" s="71"/>
      <c r="O52" s="71"/>
      <c r="P52" s="71" t="s">
        <v>21</v>
      </c>
      <c r="Q52" s="71"/>
      <c r="R52" s="2"/>
      <c r="S52" s="2"/>
    </row>
    <row r="53" ht="87.7" customHeight="1" spans="1:19">
      <c r="A53" s="72">
        <v>496</v>
      </c>
      <c r="B53" s="72" t="s">
        <v>45</v>
      </c>
      <c r="C53" s="73" t="str">
        <f>_xlfn.DISPIMG("ID_7E276FCFBAAC4DD4897F03FDEA2FD7C4",1)</f>
        <v>=DISPIMG("ID_7E276FCFBAAC4DD4897F03FDEA2FD7C4",1)</v>
      </c>
      <c r="D53" s="155" t="s">
        <v>46</v>
      </c>
      <c r="E53" s="28">
        <v>110</v>
      </c>
      <c r="F53" s="38">
        <v>84</v>
      </c>
      <c r="G53" s="38">
        <v>80</v>
      </c>
      <c r="H53" s="38">
        <v>81</v>
      </c>
      <c r="I53" s="38">
        <v>106</v>
      </c>
      <c r="J53" s="38">
        <v>114</v>
      </c>
      <c r="K53" s="22">
        <v>575</v>
      </c>
      <c r="L53" s="74">
        <v>342</v>
      </c>
      <c r="M53" s="74">
        <v>248</v>
      </c>
      <c r="N53" s="75" t="s">
        <v>21</v>
      </c>
      <c r="O53" s="75"/>
      <c r="P53" s="75" t="s">
        <v>21</v>
      </c>
      <c r="Q53" s="75"/>
      <c r="R53" s="2"/>
      <c r="S53" s="2"/>
    </row>
    <row r="54" ht="87.7" customHeight="1" spans="1:19">
      <c r="A54" s="156">
        <v>429</v>
      </c>
      <c r="B54" s="156" t="s">
        <v>61</v>
      </c>
      <c r="C54" s="157" t="str">
        <f>_xlfn.DISPIMG("ID_F95289D8FB594CFBA48876BE3397C58D",1)</f>
        <v>=DISPIMG("ID_F95289D8FB594CFBA48876BE3397C58D",1)</v>
      </c>
      <c r="D54" s="156" t="s">
        <v>62</v>
      </c>
      <c r="E54" s="28">
        <v>75</v>
      </c>
      <c r="F54" s="38">
        <v>86</v>
      </c>
      <c r="G54" s="38">
        <v>106</v>
      </c>
      <c r="H54" s="38">
        <v>91</v>
      </c>
      <c r="I54" s="38">
        <v>105</v>
      </c>
      <c r="J54" s="38">
        <v>112</v>
      </c>
      <c r="K54" s="22">
        <v>575</v>
      </c>
      <c r="L54" s="158">
        <v>340</v>
      </c>
      <c r="M54" s="158">
        <v>246</v>
      </c>
      <c r="N54" s="159" t="s">
        <v>21</v>
      </c>
      <c r="O54" s="159"/>
      <c r="P54" s="159" t="s">
        <v>21</v>
      </c>
      <c r="Q54" s="159"/>
      <c r="R54" s="2"/>
      <c r="S54" s="2"/>
    </row>
    <row r="55" ht="87.7" customHeight="1" spans="1:19">
      <c r="A55" s="160">
        <v>280</v>
      </c>
      <c r="B55" s="160" t="s">
        <v>90</v>
      </c>
      <c r="C55" s="161" t="str">
        <f>_xlfn.DISPIMG("ID_4262EABEA2D5437F8B9E10E13E2DDC8F",1)</f>
        <v>=DISPIMG("ID_4262EABEA2D5437F8B9E10E13E2DDC8F",1)</v>
      </c>
      <c r="D55" s="160" t="s">
        <v>99</v>
      </c>
      <c r="E55" s="28">
        <v>97</v>
      </c>
      <c r="F55" s="38">
        <v>84</v>
      </c>
      <c r="G55" s="38">
        <v>106</v>
      </c>
      <c r="H55" s="38">
        <v>91</v>
      </c>
      <c r="I55" s="38">
        <v>98</v>
      </c>
      <c r="J55" s="38">
        <v>99</v>
      </c>
      <c r="K55" s="22">
        <v>575</v>
      </c>
      <c r="L55" s="162">
        <v>325</v>
      </c>
      <c r="M55" s="162">
        <v>232</v>
      </c>
      <c r="N55" s="163"/>
      <c r="O55" s="163"/>
      <c r="P55" s="163" t="s">
        <v>21</v>
      </c>
      <c r="Q55" s="163"/>
      <c r="R55" s="2"/>
      <c r="S55" s="2"/>
    </row>
    <row r="56" ht="87.7" customHeight="1" spans="1:19">
      <c r="A56" s="127">
        <v>386</v>
      </c>
      <c r="B56" s="127" t="s">
        <v>55</v>
      </c>
      <c r="C56" s="128" t="str">
        <f>_xlfn.DISPIMG("ID_58A1BC6ABFB041598F325050E5AC840A",1)</f>
        <v>=DISPIMG("ID_58A1BC6ABFB041598F325050E5AC840A",1)</v>
      </c>
      <c r="D56" s="127" t="s">
        <v>159</v>
      </c>
      <c r="E56" s="28">
        <v>115</v>
      </c>
      <c r="F56" s="38">
        <v>90</v>
      </c>
      <c r="G56" s="38">
        <v>90</v>
      </c>
      <c r="H56" s="38">
        <v>75</v>
      </c>
      <c r="I56" s="38">
        <v>90</v>
      </c>
      <c r="J56" s="38">
        <v>115</v>
      </c>
      <c r="K56" s="22">
        <v>575</v>
      </c>
      <c r="L56" s="129">
        <v>307</v>
      </c>
      <c r="M56" s="129">
        <v>216</v>
      </c>
      <c r="N56" s="130"/>
      <c r="O56" s="130"/>
      <c r="P56" s="130"/>
      <c r="Q56" s="130"/>
      <c r="R56" s="2"/>
      <c r="S56" s="2"/>
    </row>
    <row r="57" ht="87.7" customHeight="1" spans="1:19">
      <c r="A57" s="105">
        <v>229</v>
      </c>
      <c r="B57" s="105" t="s">
        <v>52</v>
      </c>
      <c r="C57" s="113" t="str">
        <f>_xlfn.DISPIMG("ID_B784142D8D60475AB28FB6EC8E96E43B",1)</f>
        <v>=DISPIMG("ID_B784142D8D60475AB28FB6EC8E96E43B",1)</v>
      </c>
      <c r="D57" s="105" t="s">
        <v>181</v>
      </c>
      <c r="E57" s="28">
        <v>90</v>
      </c>
      <c r="F57" s="38">
        <v>120</v>
      </c>
      <c r="G57" s="38">
        <v>75</v>
      </c>
      <c r="H57" s="38">
        <v>95</v>
      </c>
      <c r="I57" s="38">
        <v>85</v>
      </c>
      <c r="J57" s="38">
        <v>110</v>
      </c>
      <c r="K57" s="22">
        <v>575</v>
      </c>
      <c r="L57" s="107">
        <v>296</v>
      </c>
      <c r="M57" s="107">
        <v>206</v>
      </c>
      <c r="N57" s="108"/>
      <c r="O57" s="108"/>
      <c r="P57" s="108"/>
      <c r="Q57" s="108"/>
      <c r="R57" s="2"/>
      <c r="S57" s="2"/>
    </row>
    <row r="58" ht="87.7" customHeight="1" spans="1:19">
      <c r="A58" s="164">
        <v>356</v>
      </c>
      <c r="B58" s="164" t="s">
        <v>17</v>
      </c>
      <c r="C58" s="165" t="str">
        <f>_xlfn.DISPIMG("ID_92D7295B738B4BE886A98E8BE089FD2E",1)</f>
        <v>=DISPIMG("ID_92D7295B738B4BE886A98E8BE089FD2E",1)</v>
      </c>
      <c r="D58" s="166" t="s">
        <v>239</v>
      </c>
      <c r="E58" s="28">
        <v>115</v>
      </c>
      <c r="F58" s="38">
        <v>102</v>
      </c>
      <c r="G58" s="38">
        <v>90</v>
      </c>
      <c r="H58" s="38">
        <v>84</v>
      </c>
      <c r="I58" s="38">
        <v>73</v>
      </c>
      <c r="J58" s="38">
        <v>111</v>
      </c>
      <c r="K58" s="22">
        <v>575</v>
      </c>
      <c r="L58" s="167">
        <v>270</v>
      </c>
      <c r="M58" s="167">
        <v>182</v>
      </c>
      <c r="N58" s="168"/>
      <c r="O58" s="168"/>
      <c r="P58" s="168"/>
      <c r="Q58" s="168"/>
      <c r="R58" s="2"/>
      <c r="S58" s="2"/>
    </row>
    <row r="59" ht="87.7" customHeight="1" spans="1:19">
      <c r="A59" s="60">
        <v>295</v>
      </c>
      <c r="B59" s="60" t="s">
        <v>125</v>
      </c>
      <c r="C59" s="61" t="str">
        <f>_xlfn.DISPIMG("ID_3D6D1B8E9CB1450DBEAB9955FEE8BBEF",1)</f>
        <v>=DISPIMG("ID_3D6D1B8E9CB1450DBEAB9955FEE8BBEF",1)</v>
      </c>
      <c r="D59" s="60" t="s">
        <v>216</v>
      </c>
      <c r="E59" s="28">
        <v>100</v>
      </c>
      <c r="F59" s="38">
        <v>85</v>
      </c>
      <c r="G59" s="38">
        <v>103</v>
      </c>
      <c r="H59" s="38">
        <v>101</v>
      </c>
      <c r="I59" s="38">
        <v>75</v>
      </c>
      <c r="J59" s="38">
        <v>110</v>
      </c>
      <c r="K59" s="22">
        <v>574</v>
      </c>
      <c r="L59" s="62">
        <v>274</v>
      </c>
      <c r="M59" s="62">
        <v>186</v>
      </c>
      <c r="N59" s="63"/>
      <c r="O59" s="63"/>
      <c r="P59" s="63"/>
      <c r="Q59" s="63"/>
      <c r="R59" s="2"/>
      <c r="S59" s="2"/>
    </row>
    <row r="60" ht="87.7" customHeight="1" spans="1:19">
      <c r="A60" s="169">
        <v>380</v>
      </c>
      <c r="B60" s="169" t="s">
        <v>55</v>
      </c>
      <c r="C60" s="170" t="str">
        <f>_xlfn.DISPIMG("ID_5FC6D48ECD00495499C6072ADD092FAF",1)</f>
        <v>=DISPIMG("ID_5FC6D48ECD00495499C6072ADD092FAF",1)</v>
      </c>
      <c r="D60" s="169" t="s">
        <v>56</v>
      </c>
      <c r="E60" s="28">
        <v>85</v>
      </c>
      <c r="F60" s="38">
        <v>80</v>
      </c>
      <c r="G60" s="38">
        <v>108</v>
      </c>
      <c r="H60" s="38">
        <v>90</v>
      </c>
      <c r="I60" s="38">
        <v>105</v>
      </c>
      <c r="J60" s="38">
        <v>105</v>
      </c>
      <c r="K60" s="22">
        <v>573</v>
      </c>
      <c r="L60" s="171">
        <v>340</v>
      </c>
      <c r="M60" s="171">
        <v>246</v>
      </c>
      <c r="N60" s="172"/>
      <c r="O60" s="172"/>
      <c r="P60" s="172" t="s">
        <v>21</v>
      </c>
      <c r="Q60" s="172"/>
      <c r="R60" s="2"/>
      <c r="S60" s="2"/>
    </row>
    <row r="61" ht="87.7" customHeight="1" spans="1:19">
      <c r="A61" s="173">
        <v>268</v>
      </c>
      <c r="B61" s="173" t="s">
        <v>34</v>
      </c>
      <c r="C61" s="174" t="str">
        <f>_xlfn.DISPIMG("ID_3226EFD414354A4AB2FA693A5F88FE9F",1)</f>
        <v>=DISPIMG("ID_3226EFD414354A4AB2FA693A5F88FE9F",1)</v>
      </c>
      <c r="D61" s="173" t="s">
        <v>63</v>
      </c>
      <c r="E61" s="28">
        <v>98</v>
      </c>
      <c r="F61" s="38">
        <v>73</v>
      </c>
      <c r="G61" s="38">
        <v>108</v>
      </c>
      <c r="H61" s="38">
        <v>84</v>
      </c>
      <c r="I61" s="38">
        <v>104</v>
      </c>
      <c r="J61" s="38">
        <v>105</v>
      </c>
      <c r="K61" s="22">
        <v>572</v>
      </c>
      <c r="L61" s="175">
        <v>338</v>
      </c>
      <c r="M61" s="175">
        <v>244</v>
      </c>
      <c r="N61" s="176"/>
      <c r="O61" s="176"/>
      <c r="P61" s="176"/>
      <c r="Q61" s="176"/>
      <c r="R61" s="2"/>
      <c r="S61" s="2"/>
    </row>
    <row r="62" ht="87.7" customHeight="1" spans="1:19">
      <c r="A62" s="177">
        <v>50</v>
      </c>
      <c r="B62" s="178" t="s">
        <v>55</v>
      </c>
      <c r="C62" s="179" t="str">
        <f>_xlfn.DISPIMG("ID_3D452DCBDF46437FB4D729C2C2326EAD",1)</f>
        <v>=DISPIMG("ID_3D452DCBDF46437FB4D729C2C2326EAD",1)</v>
      </c>
      <c r="D62" s="178" t="s">
        <v>170</v>
      </c>
      <c r="E62" s="28">
        <v>101</v>
      </c>
      <c r="F62" s="38">
        <v>83</v>
      </c>
      <c r="G62" s="38">
        <v>120</v>
      </c>
      <c r="H62" s="38">
        <v>93</v>
      </c>
      <c r="I62" s="38">
        <v>86</v>
      </c>
      <c r="J62" s="38">
        <v>89</v>
      </c>
      <c r="K62" s="22">
        <v>572</v>
      </c>
      <c r="L62" s="180">
        <v>298</v>
      </c>
      <c r="M62" s="180">
        <v>208</v>
      </c>
      <c r="N62" s="181"/>
      <c r="O62" s="181"/>
      <c r="P62" s="181"/>
      <c r="Q62" s="181" t="s">
        <v>21</v>
      </c>
      <c r="R62" s="2"/>
      <c r="S62" s="2"/>
    </row>
    <row r="63" ht="87.7" customHeight="1" spans="1:19">
      <c r="A63" s="182">
        <v>372</v>
      </c>
      <c r="B63" s="182" t="s">
        <v>41</v>
      </c>
      <c r="C63" s="183" t="str">
        <f>_xlfn.DISPIMG("ID_6E7692EB4F5847E8B28A106C5F2907F5",1)</f>
        <v>=DISPIMG("ID_6E7692EB4F5847E8B28A106C5F2907F5",1)</v>
      </c>
      <c r="D63" s="182" t="s">
        <v>166</v>
      </c>
      <c r="E63" s="28">
        <v>90</v>
      </c>
      <c r="F63" s="38">
        <v>92</v>
      </c>
      <c r="G63" s="38">
        <v>102</v>
      </c>
      <c r="H63" s="38">
        <v>84</v>
      </c>
      <c r="I63" s="38">
        <v>88</v>
      </c>
      <c r="J63" s="38">
        <v>115</v>
      </c>
      <c r="K63" s="22">
        <v>571</v>
      </c>
      <c r="L63" s="184">
        <v>303</v>
      </c>
      <c r="M63" s="184">
        <v>212</v>
      </c>
      <c r="N63" s="185" t="s">
        <v>21</v>
      </c>
      <c r="O63" s="185"/>
      <c r="P63" s="185" t="s">
        <v>21</v>
      </c>
      <c r="Q63" s="185"/>
      <c r="R63" s="2"/>
      <c r="S63" s="2"/>
    </row>
    <row r="64" ht="87.7" customHeight="1" spans="1:19">
      <c r="A64" s="55">
        <v>334</v>
      </c>
      <c r="B64" s="55" t="s">
        <v>28</v>
      </c>
      <c r="C64" s="56" t="str">
        <f>_xlfn.DISPIMG("ID_B8D59040206C4DB797415D9031FA8825",1)</f>
        <v>=DISPIMG("ID_B8D59040206C4DB797415D9031FA8825",1)</v>
      </c>
      <c r="D64" s="55" t="s">
        <v>224</v>
      </c>
      <c r="E64" s="28">
        <v>87</v>
      </c>
      <c r="F64" s="38">
        <v>98</v>
      </c>
      <c r="G64" s="38">
        <v>102</v>
      </c>
      <c r="H64" s="38">
        <v>100</v>
      </c>
      <c r="I64" s="38">
        <v>71</v>
      </c>
      <c r="J64" s="38">
        <v>113</v>
      </c>
      <c r="K64" s="22">
        <v>571</v>
      </c>
      <c r="L64" s="57">
        <v>265</v>
      </c>
      <c r="M64" s="57">
        <v>178</v>
      </c>
      <c r="N64" s="59"/>
      <c r="O64" s="59"/>
      <c r="P64" s="59"/>
      <c r="Q64" s="59"/>
      <c r="R64" s="2"/>
      <c r="S64" s="2"/>
    </row>
    <row r="65" ht="87.7" customHeight="1" spans="1:19">
      <c r="A65" s="186">
        <v>375</v>
      </c>
      <c r="B65" s="186" t="s">
        <v>45</v>
      </c>
      <c r="C65" s="187" t="str">
        <f>_xlfn.DISPIMG("ID_DAD5D46CF5574C4EB0BA4797F8E5FE67",1)</f>
        <v>=DISPIMG("ID_DAD5D46CF5574C4EB0BA4797F8E5FE67",1)</v>
      </c>
      <c r="D65" s="186" t="s">
        <v>227</v>
      </c>
      <c r="E65" s="28">
        <v>84</v>
      </c>
      <c r="F65" s="38">
        <v>95</v>
      </c>
      <c r="G65" s="38">
        <v>98</v>
      </c>
      <c r="H65" s="38">
        <v>112</v>
      </c>
      <c r="I65" s="38">
        <v>70</v>
      </c>
      <c r="J65" s="38">
        <v>112</v>
      </c>
      <c r="K65" s="22">
        <v>571</v>
      </c>
      <c r="L65" s="188">
        <v>263</v>
      </c>
      <c r="M65" s="188">
        <v>176</v>
      </c>
      <c r="N65" s="189" t="s">
        <v>21</v>
      </c>
      <c r="O65" s="189"/>
      <c r="P65" s="189"/>
      <c r="Q65" s="189"/>
      <c r="R65" s="2"/>
      <c r="S65" s="2"/>
    </row>
    <row r="66" ht="87.7" customHeight="1" spans="1:19">
      <c r="A66" s="118">
        <v>377</v>
      </c>
      <c r="B66" s="118" t="s">
        <v>115</v>
      </c>
      <c r="C66" s="119" t="str">
        <f>_xlfn.DISPIMG("ID_6DA6CC5579174F96B9F0531E6C34FDFC",1)</f>
        <v>=DISPIMG("ID_6DA6CC5579174F96B9F0531E6C34FDFC",1)</v>
      </c>
      <c r="D66" s="118" t="s">
        <v>228</v>
      </c>
      <c r="E66" s="28">
        <v>91</v>
      </c>
      <c r="F66" s="38">
        <v>120</v>
      </c>
      <c r="G66" s="38">
        <v>75</v>
      </c>
      <c r="H66" s="38">
        <v>85</v>
      </c>
      <c r="I66" s="38">
        <v>70</v>
      </c>
      <c r="J66" s="38">
        <v>130</v>
      </c>
      <c r="K66" s="22">
        <v>571</v>
      </c>
      <c r="L66" s="120">
        <v>263</v>
      </c>
      <c r="M66" s="120">
        <v>176</v>
      </c>
      <c r="N66" s="121"/>
      <c r="O66" s="121"/>
      <c r="P66" s="121"/>
      <c r="Q66" s="121"/>
      <c r="R66" s="2"/>
      <c r="S66" s="2"/>
    </row>
    <row r="67" ht="87.7" customHeight="1" spans="1:19">
      <c r="A67" s="64">
        <v>498</v>
      </c>
      <c r="B67" s="64" t="s">
        <v>38</v>
      </c>
      <c r="C67" s="65" t="str">
        <f>_xlfn.DISPIMG("ID_31730D3040C544D8B96BCCAE5C976101",1)</f>
        <v>=DISPIMG("ID_31730D3040C544D8B96BCCAE5C976101",1)</v>
      </c>
      <c r="D67" s="190" t="s">
        <v>240</v>
      </c>
      <c r="E67" s="28">
        <v>60</v>
      </c>
      <c r="F67" s="38">
        <v>75</v>
      </c>
      <c r="G67" s="38">
        <v>120</v>
      </c>
      <c r="H67" s="38">
        <v>95</v>
      </c>
      <c r="I67" s="38">
        <v>108</v>
      </c>
      <c r="J67" s="38">
        <v>112</v>
      </c>
      <c r="K67" s="22">
        <v>570</v>
      </c>
      <c r="L67" s="66">
        <v>347</v>
      </c>
      <c r="M67" s="66">
        <v>252</v>
      </c>
      <c r="N67" s="67"/>
      <c r="O67" s="67" t="s">
        <v>21</v>
      </c>
      <c r="P67" s="67"/>
      <c r="Q67" s="67"/>
      <c r="R67" s="2"/>
      <c r="S67" s="2"/>
    </row>
    <row r="68" ht="87.7" customHeight="1" spans="1:19">
      <c r="A68" s="182">
        <v>220</v>
      </c>
      <c r="B68" s="182" t="s">
        <v>41</v>
      </c>
      <c r="C68" s="183" t="str">
        <f>_xlfn.DISPIMG("ID_5F76154FBFC34BC6BD62CFF73FE780A0",1)</f>
        <v>=DISPIMG("ID_5F76154FBFC34BC6BD62CFF73FE780A0",1)</v>
      </c>
      <c r="D68" s="182" t="s">
        <v>50</v>
      </c>
      <c r="E68" s="28">
        <v>90</v>
      </c>
      <c r="F68" s="38">
        <v>73</v>
      </c>
      <c r="G68" s="38">
        <v>120</v>
      </c>
      <c r="H68" s="38">
        <v>81</v>
      </c>
      <c r="I68" s="38">
        <v>105</v>
      </c>
      <c r="J68" s="38">
        <v>101</v>
      </c>
      <c r="K68" s="22">
        <v>570</v>
      </c>
      <c r="L68" s="184">
        <v>340</v>
      </c>
      <c r="M68" s="184">
        <v>246</v>
      </c>
      <c r="N68" s="185"/>
      <c r="O68" s="185"/>
      <c r="P68" s="185" t="s">
        <v>21</v>
      </c>
      <c r="Q68" s="185"/>
      <c r="R68" s="2"/>
      <c r="S68" s="2"/>
    </row>
    <row r="69" ht="87.7" customHeight="1" spans="1:19">
      <c r="A69" s="191">
        <v>431</v>
      </c>
      <c r="B69" s="191" t="s">
        <v>64</v>
      </c>
      <c r="C69" s="192" t="str">
        <f>_xlfn.DISPIMG("ID_1B9640AA4B43489EA0AF3E578F5ADBEE",1)</f>
        <v>=DISPIMG("ID_1B9640AA4B43489EA0AF3E578F5ADBEE",1)</v>
      </c>
      <c r="D69" s="191" t="s">
        <v>65</v>
      </c>
      <c r="E69" s="28">
        <v>75</v>
      </c>
      <c r="F69" s="38">
        <v>80</v>
      </c>
      <c r="G69" s="38">
        <v>112</v>
      </c>
      <c r="H69" s="38">
        <v>94</v>
      </c>
      <c r="I69" s="38">
        <v>104</v>
      </c>
      <c r="J69" s="38">
        <v>105</v>
      </c>
      <c r="K69" s="22">
        <v>570</v>
      </c>
      <c r="L69" s="193">
        <v>338</v>
      </c>
      <c r="M69" s="193">
        <v>244</v>
      </c>
      <c r="N69" s="194"/>
      <c r="O69" s="194"/>
      <c r="P69" s="194" t="s">
        <v>21</v>
      </c>
      <c r="Q69" s="194"/>
      <c r="R69" s="2"/>
      <c r="S69" s="2"/>
    </row>
    <row r="70" ht="87.7" customHeight="1" spans="1:19">
      <c r="A70" s="173">
        <v>396</v>
      </c>
      <c r="B70" s="173" t="s">
        <v>34</v>
      </c>
      <c r="C70" s="174" t="str">
        <f>_xlfn.DISPIMG("ID_C6936CA541EC400D96528D36D5BAABC2",1)</f>
        <v>=DISPIMG("ID_C6936CA541EC400D96528D36D5BAABC2",1)</v>
      </c>
      <c r="D70" s="173" t="s">
        <v>80</v>
      </c>
      <c r="E70" s="28">
        <v>106</v>
      </c>
      <c r="F70" s="38">
        <v>79</v>
      </c>
      <c r="G70" s="38">
        <v>96</v>
      </c>
      <c r="H70" s="38">
        <v>80</v>
      </c>
      <c r="I70" s="38">
        <v>101</v>
      </c>
      <c r="J70" s="38">
        <v>108</v>
      </c>
      <c r="K70" s="22">
        <v>570</v>
      </c>
      <c r="L70" s="175">
        <v>331</v>
      </c>
      <c r="M70" s="175">
        <v>238</v>
      </c>
      <c r="N70" s="176"/>
      <c r="O70" s="176" t="s">
        <v>21</v>
      </c>
      <c r="P70" s="176" t="s">
        <v>21</v>
      </c>
      <c r="Q70" s="176"/>
      <c r="R70" s="2"/>
      <c r="S70" s="2"/>
    </row>
    <row r="71" ht="87.7" customHeight="1" spans="1:19">
      <c r="A71" s="109">
        <v>253</v>
      </c>
      <c r="B71" s="109" t="s">
        <v>71</v>
      </c>
      <c r="C71" s="110" t="str">
        <f>_xlfn.DISPIMG("ID_ADF184A6489B41E8BCE8082D9F3BCDC8",1)</f>
        <v>=DISPIMG("ID_ADF184A6489B41E8BCE8082D9F3BCDC8",1)</v>
      </c>
      <c r="D71" s="109" t="s">
        <v>114</v>
      </c>
      <c r="E71" s="28">
        <v>110</v>
      </c>
      <c r="F71" s="38">
        <v>86</v>
      </c>
      <c r="G71" s="38">
        <v>100</v>
      </c>
      <c r="H71" s="38">
        <v>84</v>
      </c>
      <c r="I71" s="38">
        <v>95</v>
      </c>
      <c r="J71" s="38">
        <v>95</v>
      </c>
      <c r="K71" s="22">
        <v>570</v>
      </c>
      <c r="L71" s="111">
        <v>318</v>
      </c>
      <c r="M71" s="111">
        <v>226</v>
      </c>
      <c r="N71" s="112" t="s">
        <v>21</v>
      </c>
      <c r="O71" s="112"/>
      <c r="P71" s="112"/>
      <c r="Q71" s="112" t="s">
        <v>21</v>
      </c>
      <c r="R71" s="2"/>
      <c r="S71" s="2"/>
    </row>
    <row r="72" ht="87.7" customHeight="1" spans="1:19">
      <c r="A72" s="101">
        <v>500</v>
      </c>
      <c r="B72" s="101" t="s">
        <v>86</v>
      </c>
      <c r="C72" s="102" t="str">
        <f>_xlfn.DISPIMG("ID_BEE5284AC808494ABD5923866248B283",1)</f>
        <v>=DISPIMG("ID_BEE5284AC808494ABD5923866248B283",1)</v>
      </c>
      <c r="D72" s="101" t="s">
        <v>123</v>
      </c>
      <c r="E72" s="28">
        <v>86</v>
      </c>
      <c r="F72" s="38">
        <v>78</v>
      </c>
      <c r="G72" s="38">
        <v>118</v>
      </c>
      <c r="H72" s="38">
        <v>87</v>
      </c>
      <c r="I72" s="38">
        <v>95</v>
      </c>
      <c r="J72" s="38">
        <v>106</v>
      </c>
      <c r="K72" s="22">
        <v>570</v>
      </c>
      <c r="L72" s="103">
        <v>318</v>
      </c>
      <c r="M72" s="103">
        <v>226</v>
      </c>
      <c r="N72" s="101"/>
      <c r="O72" s="101"/>
      <c r="P72" s="101" t="s">
        <v>124</v>
      </c>
      <c r="Q72" s="101"/>
      <c r="R72" s="2"/>
      <c r="S72" s="2"/>
    </row>
    <row r="73" ht="87.7" customHeight="1" spans="1:19">
      <c r="A73" s="195">
        <v>470</v>
      </c>
      <c r="B73" s="195" t="s">
        <v>57</v>
      </c>
      <c r="C73" s="196" t="str">
        <f>_xlfn.DISPIMG("ID_4942549C9AEE4B5AADAC108D42C650F2",1)</f>
        <v>=DISPIMG("ID_4942549C9AEE4B5AADAC108D42C650F2",1)</v>
      </c>
      <c r="D73" s="195" t="s">
        <v>146</v>
      </c>
      <c r="E73" s="28">
        <v>85</v>
      </c>
      <c r="F73" s="38">
        <v>84</v>
      </c>
      <c r="G73" s="38">
        <v>110</v>
      </c>
      <c r="H73" s="38">
        <v>85</v>
      </c>
      <c r="I73" s="38">
        <v>91</v>
      </c>
      <c r="J73" s="38">
        <v>115</v>
      </c>
      <c r="K73" s="22">
        <v>570</v>
      </c>
      <c r="L73" s="197">
        <v>309</v>
      </c>
      <c r="M73" s="197">
        <v>218</v>
      </c>
      <c r="N73" s="198" t="s">
        <v>21</v>
      </c>
      <c r="O73" s="198"/>
      <c r="P73" s="198"/>
      <c r="Q73" s="198"/>
      <c r="R73" s="2"/>
      <c r="S73" s="2"/>
    </row>
    <row r="74" ht="87.7" customHeight="1" spans="1:19">
      <c r="A74" s="114">
        <v>242</v>
      </c>
      <c r="B74" s="114" t="s">
        <v>90</v>
      </c>
      <c r="C74" s="115" t="str">
        <f>_xlfn.DISPIMG("ID_6E527D7739E74746A4A837B75448EB4E",1)</f>
        <v>=DISPIMG("ID_6E527D7739E74746A4A837B75448EB4E",1)</v>
      </c>
      <c r="D74" s="114" t="s">
        <v>171</v>
      </c>
      <c r="E74" s="28">
        <v>77</v>
      </c>
      <c r="F74" s="38">
        <v>85</v>
      </c>
      <c r="G74" s="38">
        <v>101</v>
      </c>
      <c r="H74" s="38">
        <v>108</v>
      </c>
      <c r="I74" s="38">
        <v>86</v>
      </c>
      <c r="J74" s="38">
        <v>113</v>
      </c>
      <c r="K74" s="22">
        <v>570</v>
      </c>
      <c r="L74" s="116">
        <v>298</v>
      </c>
      <c r="M74" s="116">
        <v>208</v>
      </c>
      <c r="N74" s="117" t="s">
        <v>21</v>
      </c>
      <c r="O74" s="117"/>
      <c r="P74" s="117"/>
      <c r="Q74" s="117"/>
      <c r="R74" s="2"/>
      <c r="S74" s="2"/>
    </row>
    <row r="75" ht="87.7" customHeight="1" spans="1:19">
      <c r="A75" s="60">
        <v>389</v>
      </c>
      <c r="B75" s="60" t="s">
        <v>125</v>
      </c>
      <c r="C75" s="61" t="str">
        <f>_xlfn.DISPIMG("ID_F867F388649F4F4390AF584D82CBF2CE",1)</f>
        <v>=DISPIMG("ID_F867F388649F4F4390AF584D82CBF2CE",1)</v>
      </c>
      <c r="D75" s="199" t="s">
        <v>236</v>
      </c>
      <c r="E75" s="28">
        <v>75</v>
      </c>
      <c r="F75" s="38">
        <v>110</v>
      </c>
      <c r="G75" s="38">
        <v>90</v>
      </c>
      <c r="H75" s="38">
        <v>117</v>
      </c>
      <c r="I75" s="38">
        <v>53</v>
      </c>
      <c r="J75" s="38">
        <v>125</v>
      </c>
      <c r="K75" s="22">
        <v>570</v>
      </c>
      <c r="L75" s="62">
        <v>226</v>
      </c>
      <c r="M75" s="62">
        <v>142</v>
      </c>
      <c r="N75" s="63"/>
      <c r="O75" s="63"/>
      <c r="P75" s="63" t="s">
        <v>21</v>
      </c>
      <c r="Q75" s="63"/>
      <c r="R75" s="2"/>
      <c r="S75" s="2"/>
    </row>
    <row r="76" ht="87.7" customHeight="1" spans="1:19">
      <c r="A76" s="101">
        <v>382</v>
      </c>
      <c r="B76" s="101" t="s">
        <v>86</v>
      </c>
      <c r="C76" s="102" t="str">
        <f>_xlfn.DISPIMG("ID_B4FE56C36D1B41F7AB7B39E889750972",1)</f>
        <v>=DISPIMG("ID_B4FE56C36D1B41F7AB7B39E889750972",1)</v>
      </c>
      <c r="D76" s="101" t="s">
        <v>186</v>
      </c>
      <c r="E76" s="28">
        <v>84</v>
      </c>
      <c r="F76" s="38">
        <v>82</v>
      </c>
      <c r="G76" s="38">
        <v>100</v>
      </c>
      <c r="H76" s="38">
        <v>112</v>
      </c>
      <c r="I76" s="38">
        <v>85</v>
      </c>
      <c r="J76" s="38">
        <v>106</v>
      </c>
      <c r="K76" s="22">
        <v>569</v>
      </c>
      <c r="L76" s="103">
        <v>296</v>
      </c>
      <c r="M76" s="103">
        <v>206</v>
      </c>
      <c r="N76" s="104" t="s">
        <v>21</v>
      </c>
      <c r="O76" s="104"/>
      <c r="P76" s="104"/>
      <c r="Q76" s="104"/>
      <c r="R76" s="2"/>
      <c r="S76" s="2"/>
    </row>
    <row r="77" ht="87.7" customHeight="1" spans="1:19">
      <c r="A77" s="101">
        <v>248</v>
      </c>
      <c r="B77" s="101" t="s">
        <v>86</v>
      </c>
      <c r="C77" s="102" t="str">
        <f>_xlfn.DISPIMG("ID_BDFF2215B06B4FDDB07DBF2494DB14AA",1)</f>
        <v>=DISPIMG("ID_BDFF2215B06B4FDDB07DBF2494DB14AA",1)</v>
      </c>
      <c r="D77" s="101" t="s">
        <v>226</v>
      </c>
      <c r="E77" s="28">
        <v>109</v>
      </c>
      <c r="F77" s="38">
        <v>105</v>
      </c>
      <c r="G77" s="38">
        <v>77</v>
      </c>
      <c r="H77" s="38">
        <v>93</v>
      </c>
      <c r="I77" s="38">
        <v>70</v>
      </c>
      <c r="J77" s="38">
        <v>115</v>
      </c>
      <c r="K77" s="22">
        <v>569</v>
      </c>
      <c r="L77" s="103">
        <v>263</v>
      </c>
      <c r="M77" s="103">
        <v>176</v>
      </c>
      <c r="N77" s="104" t="s">
        <v>21</v>
      </c>
      <c r="O77" s="104"/>
      <c r="P77" s="104"/>
      <c r="Q77" s="104"/>
      <c r="R77" s="2"/>
      <c r="S77" s="2"/>
    </row>
    <row r="78" ht="87.7" customHeight="1" spans="1:19">
      <c r="A78" s="200">
        <v>321</v>
      </c>
      <c r="B78" s="200" t="s">
        <v>34</v>
      </c>
      <c r="C78" s="201" t="str">
        <f>_xlfn.DISPIMG("ID_36A917E2A2914D08A785BD60F2DDE2BC",1)</f>
        <v>=DISPIMG("ID_36A917E2A2914D08A785BD60F2DDE2BC",1)</v>
      </c>
      <c r="D78" s="200" t="s">
        <v>35</v>
      </c>
      <c r="E78" s="28">
        <v>100</v>
      </c>
      <c r="F78" s="38">
        <v>83</v>
      </c>
      <c r="G78" s="38">
        <v>105</v>
      </c>
      <c r="H78" s="38">
        <v>72</v>
      </c>
      <c r="I78" s="38">
        <v>108</v>
      </c>
      <c r="J78" s="38">
        <v>100</v>
      </c>
      <c r="K78" s="22">
        <v>568</v>
      </c>
      <c r="L78" s="202">
        <v>347</v>
      </c>
      <c r="M78" s="202">
        <v>252</v>
      </c>
      <c r="N78" s="203"/>
      <c r="O78" s="203" t="s">
        <v>21</v>
      </c>
      <c r="P78" s="203" t="s">
        <v>21</v>
      </c>
      <c r="Q78" s="203"/>
      <c r="R78" s="2"/>
      <c r="S78" s="2"/>
    </row>
    <row r="79" ht="87.7" customHeight="1" spans="1:19">
      <c r="A79" s="123">
        <v>239</v>
      </c>
      <c r="B79" s="123" t="s">
        <v>41</v>
      </c>
      <c r="C79" s="124" t="str">
        <f>_xlfn.DISPIMG("ID_14414EF5876A443DA7F120BD17D8AAAC",1)</f>
        <v>=DISPIMG("ID_14414EF5876A443DA7F120BD17D8AAAC",1)</v>
      </c>
      <c r="D79" s="123" t="s">
        <v>51</v>
      </c>
      <c r="E79" s="28">
        <v>79</v>
      </c>
      <c r="F79" s="38">
        <v>77</v>
      </c>
      <c r="G79" s="38">
        <v>107</v>
      </c>
      <c r="H79" s="38">
        <v>97</v>
      </c>
      <c r="I79" s="38">
        <v>105</v>
      </c>
      <c r="J79" s="38">
        <v>103</v>
      </c>
      <c r="K79" s="22">
        <v>568</v>
      </c>
      <c r="L79" s="125">
        <v>340</v>
      </c>
      <c r="M79" s="125">
        <v>246</v>
      </c>
      <c r="N79" s="126"/>
      <c r="O79" s="126"/>
      <c r="P79" s="126"/>
      <c r="Q79" s="126"/>
      <c r="R79" s="2"/>
      <c r="S79" s="2"/>
    </row>
    <row r="80" ht="87.7" customHeight="1" spans="1:19">
      <c r="A80" s="204">
        <v>475</v>
      </c>
      <c r="B80" s="204" t="s">
        <v>147</v>
      </c>
      <c r="C80" s="205" t="str">
        <f>_xlfn.DISPIMG("ID_57E4D22812E54AB08B246B125EBFA578",1)</f>
        <v>=DISPIMG("ID_57E4D22812E54AB08B246B125EBFA578",1)</v>
      </c>
      <c r="D80" s="206" t="s">
        <v>148</v>
      </c>
      <c r="E80" s="28">
        <v>101</v>
      </c>
      <c r="F80" s="38">
        <v>78</v>
      </c>
      <c r="G80" s="38">
        <v>108</v>
      </c>
      <c r="H80" s="38">
        <v>85</v>
      </c>
      <c r="I80" s="38">
        <v>91</v>
      </c>
      <c r="J80" s="38">
        <v>105</v>
      </c>
      <c r="K80" s="22">
        <v>568</v>
      </c>
      <c r="L80" s="207">
        <v>309</v>
      </c>
      <c r="M80" s="207">
        <v>218</v>
      </c>
      <c r="N80" s="208"/>
      <c r="O80" s="208"/>
      <c r="P80" s="208"/>
      <c r="Q80" s="208" t="s">
        <v>21</v>
      </c>
      <c r="R80" s="2"/>
      <c r="S80" s="2"/>
    </row>
    <row r="81" ht="87.7" customHeight="1" spans="1:19">
      <c r="A81" s="80">
        <v>277</v>
      </c>
      <c r="B81" s="80" t="s">
        <v>52</v>
      </c>
      <c r="C81" s="81" t="str">
        <f>_xlfn.DISPIMG("ID_7FB7A4D80A2E4C41959B209FAE0DEBC5",1)</f>
        <v>=DISPIMG("ID_7FB7A4D80A2E4C41959B209FAE0DEBC5",1)</v>
      </c>
      <c r="D81" s="80" t="s">
        <v>73</v>
      </c>
      <c r="E81" s="28">
        <v>107</v>
      </c>
      <c r="F81" s="38">
        <v>79</v>
      </c>
      <c r="G81" s="38">
        <v>91</v>
      </c>
      <c r="H81" s="38">
        <v>95</v>
      </c>
      <c r="I81" s="38">
        <v>102</v>
      </c>
      <c r="J81" s="38">
        <v>93</v>
      </c>
      <c r="K81" s="22">
        <v>567</v>
      </c>
      <c r="L81" s="83">
        <v>334</v>
      </c>
      <c r="M81" s="83">
        <v>240</v>
      </c>
      <c r="N81" s="84"/>
      <c r="O81" s="84" t="s">
        <v>21</v>
      </c>
      <c r="P81" s="84"/>
      <c r="Q81" s="84"/>
      <c r="R81" s="2"/>
      <c r="S81" s="2"/>
    </row>
    <row r="82" ht="87.7" customHeight="1" spans="1:19">
      <c r="A82" s="209">
        <v>479</v>
      </c>
      <c r="B82" s="209" t="s">
        <v>76</v>
      </c>
      <c r="C82" s="210" t="str">
        <f>_xlfn.DISPIMG("ID_56ADC49B96774BAABCA992BAA9C784D2",1)</f>
        <v>=DISPIMG("ID_56ADC49B96774BAABCA992BAA9C784D2",1)</v>
      </c>
      <c r="D82" s="211" t="s">
        <v>77</v>
      </c>
      <c r="E82" s="28">
        <v>75</v>
      </c>
      <c r="F82" s="38">
        <v>74</v>
      </c>
      <c r="G82" s="38">
        <v>116</v>
      </c>
      <c r="H82" s="38">
        <v>90</v>
      </c>
      <c r="I82" s="38">
        <v>102</v>
      </c>
      <c r="J82" s="38">
        <v>110</v>
      </c>
      <c r="K82" s="22">
        <v>567</v>
      </c>
      <c r="L82" s="212">
        <v>334</v>
      </c>
      <c r="M82" s="212">
        <v>240</v>
      </c>
      <c r="N82" s="213"/>
      <c r="O82" s="213"/>
      <c r="P82" s="213" t="s">
        <v>21</v>
      </c>
      <c r="Q82" s="213"/>
      <c r="R82" s="2"/>
      <c r="S82" s="2"/>
    </row>
    <row r="83" ht="87.7" customHeight="1" spans="1:19">
      <c r="A83" s="214">
        <v>485</v>
      </c>
      <c r="B83" s="214" t="s">
        <v>71</v>
      </c>
      <c r="C83" s="215" t="str">
        <f>_xlfn.DISPIMG("ID_54E0DE61D6D34CBFAFB8447CB5552C1D",1)</f>
        <v>=DISPIMG("ID_54E0DE61D6D34CBFAFB8447CB5552C1D",1)</v>
      </c>
      <c r="D83" s="214" t="s">
        <v>78</v>
      </c>
      <c r="E83" s="28">
        <v>85</v>
      </c>
      <c r="F83" s="38">
        <v>78</v>
      </c>
      <c r="G83" s="38">
        <v>110</v>
      </c>
      <c r="H83" s="38">
        <v>82</v>
      </c>
      <c r="I83" s="38">
        <v>102</v>
      </c>
      <c r="J83" s="38">
        <v>108</v>
      </c>
      <c r="K83" s="22">
        <v>565</v>
      </c>
      <c r="L83" s="216">
        <v>334</v>
      </c>
      <c r="M83" s="216">
        <v>240</v>
      </c>
      <c r="N83" s="217" t="s">
        <v>21</v>
      </c>
      <c r="O83" s="217"/>
      <c r="P83" s="217"/>
      <c r="Q83" s="217"/>
      <c r="R83" s="2"/>
      <c r="S83" s="2"/>
    </row>
    <row r="84" ht="87.7" customHeight="1" spans="1:19">
      <c r="A84" s="64">
        <v>367</v>
      </c>
      <c r="B84" s="64" t="s">
        <v>38</v>
      </c>
      <c r="C84" s="65" t="str">
        <f>_xlfn.DISPIMG("ID_469F8653269C4CB9A2CBBBB0E03C45D1",1)</f>
        <v>=DISPIMG("ID_469F8653269C4CB9A2CBBBB0E03C45D1",1)</v>
      </c>
      <c r="D84" s="64" t="s">
        <v>165</v>
      </c>
      <c r="E84" s="28">
        <v>82</v>
      </c>
      <c r="F84" s="38">
        <v>85</v>
      </c>
      <c r="G84" s="38">
        <v>102</v>
      </c>
      <c r="H84" s="38">
        <v>90</v>
      </c>
      <c r="I84" s="38">
        <v>88</v>
      </c>
      <c r="J84" s="38">
        <v>118</v>
      </c>
      <c r="K84" s="22">
        <v>565</v>
      </c>
      <c r="L84" s="66">
        <v>303</v>
      </c>
      <c r="M84" s="66">
        <v>212</v>
      </c>
      <c r="N84" s="67"/>
      <c r="O84" s="67"/>
      <c r="P84" s="67"/>
      <c r="Q84" s="67"/>
      <c r="R84" s="2"/>
      <c r="S84" s="2"/>
    </row>
    <row r="85" ht="87.7" customHeight="1" spans="1:19">
      <c r="A85" s="109">
        <v>227</v>
      </c>
      <c r="B85" s="109" t="s">
        <v>71</v>
      </c>
      <c r="C85" s="110" t="str">
        <f>_xlfn.DISPIMG("ID_0F464482A2BC4C01ADE9030246B7F75F",1)</f>
        <v>=DISPIMG("ID_0F464482A2BC4C01ADE9030246B7F75F",1)</v>
      </c>
      <c r="D85" s="109" t="s">
        <v>180</v>
      </c>
      <c r="E85" s="28">
        <v>97</v>
      </c>
      <c r="F85" s="38">
        <v>87</v>
      </c>
      <c r="G85" s="38">
        <v>110</v>
      </c>
      <c r="H85" s="38">
        <v>86</v>
      </c>
      <c r="I85" s="38">
        <v>85</v>
      </c>
      <c r="J85" s="38">
        <v>100</v>
      </c>
      <c r="K85" s="22">
        <v>565</v>
      </c>
      <c r="L85" s="111">
        <v>296</v>
      </c>
      <c r="M85" s="111">
        <v>206</v>
      </c>
      <c r="N85" s="112"/>
      <c r="O85" s="112"/>
      <c r="P85" s="112"/>
      <c r="Q85" s="112"/>
      <c r="R85" s="2"/>
      <c r="S85" s="2"/>
    </row>
    <row r="86" ht="87.7" customHeight="1" spans="1:19">
      <c r="A86" s="97">
        <v>458</v>
      </c>
      <c r="B86" s="97" t="s">
        <v>71</v>
      </c>
      <c r="C86" s="98" t="str">
        <f>_xlfn.DISPIMG("ID_C28B20BF113A405DB63273439FEF15E6",1)</f>
        <v>=DISPIMG("ID_C28B20BF113A405DB63273439FEF15E6",1)</v>
      </c>
      <c r="D86" s="97" t="s">
        <v>188</v>
      </c>
      <c r="E86" s="28">
        <v>80</v>
      </c>
      <c r="F86" s="38">
        <v>91</v>
      </c>
      <c r="G86" s="38">
        <v>102</v>
      </c>
      <c r="H86" s="38">
        <v>92</v>
      </c>
      <c r="I86" s="38">
        <v>85</v>
      </c>
      <c r="J86" s="38">
        <v>115</v>
      </c>
      <c r="K86" s="22">
        <v>565</v>
      </c>
      <c r="L86" s="99">
        <v>296</v>
      </c>
      <c r="M86" s="99">
        <v>206</v>
      </c>
      <c r="N86" s="100"/>
      <c r="O86" s="100"/>
      <c r="P86" s="100"/>
      <c r="Q86" s="100"/>
      <c r="R86" s="2"/>
      <c r="S86" s="2"/>
    </row>
    <row r="87" ht="87.7" customHeight="1" spans="1:19">
      <c r="A87" s="60">
        <v>473</v>
      </c>
      <c r="B87" s="60" t="s">
        <v>125</v>
      </c>
      <c r="C87" s="61" t="str">
        <f>_xlfn.DISPIMG("ID_EF93E6B31219456882FAC876BCF71D69",1)</f>
        <v>=DISPIMG("ID_EF93E6B31219456882FAC876BCF71D69",1)</v>
      </c>
      <c r="D87" s="60" t="s">
        <v>200</v>
      </c>
      <c r="E87" s="28">
        <v>90</v>
      </c>
      <c r="F87" s="38">
        <v>85</v>
      </c>
      <c r="G87" s="38">
        <v>115</v>
      </c>
      <c r="H87" s="38">
        <v>87</v>
      </c>
      <c r="I87" s="38">
        <v>81</v>
      </c>
      <c r="J87" s="38">
        <v>107</v>
      </c>
      <c r="K87" s="22">
        <v>565</v>
      </c>
      <c r="L87" s="62">
        <v>287</v>
      </c>
      <c r="M87" s="62">
        <v>198</v>
      </c>
      <c r="N87" s="63"/>
      <c r="O87" s="63" t="s">
        <v>21</v>
      </c>
      <c r="P87" s="218" t="s">
        <v>132</v>
      </c>
      <c r="Q87" s="60"/>
      <c r="R87" s="2"/>
      <c r="S87" s="2"/>
    </row>
    <row r="88" ht="87.7" customHeight="1" spans="1:19">
      <c r="A88" s="68">
        <v>236</v>
      </c>
      <c r="B88" s="68" t="s">
        <v>115</v>
      </c>
      <c r="C88" s="69" t="str">
        <f>_xlfn.DISPIMG("ID_161A0C3E0F2D43AEB5A2F173DD94854A",1)</f>
        <v>=DISPIMG("ID_161A0C3E0F2D43AEB5A2F173DD94854A",1)</v>
      </c>
      <c r="D88" s="68" t="s">
        <v>193</v>
      </c>
      <c r="E88" s="28">
        <v>82</v>
      </c>
      <c r="F88" s="38">
        <v>85</v>
      </c>
      <c r="G88" s="38">
        <v>112</v>
      </c>
      <c r="H88" s="38">
        <v>91</v>
      </c>
      <c r="I88" s="38">
        <v>83</v>
      </c>
      <c r="J88" s="38">
        <v>110</v>
      </c>
      <c r="K88" s="22">
        <v>563</v>
      </c>
      <c r="L88" s="70">
        <v>292</v>
      </c>
      <c r="M88" s="70">
        <v>202</v>
      </c>
      <c r="N88" s="71"/>
      <c r="O88" s="71"/>
      <c r="P88" s="71" t="s">
        <v>21</v>
      </c>
      <c r="Q88" s="71"/>
      <c r="R88" s="2"/>
      <c r="S88" s="2"/>
    </row>
    <row r="89" ht="87.7" customHeight="1" spans="1:19">
      <c r="A89" s="109">
        <v>231</v>
      </c>
      <c r="B89" s="109" t="s">
        <v>71</v>
      </c>
      <c r="C89" s="110" t="str">
        <f>_xlfn.DISPIMG("ID_86BD1C63B36A467E878E7C1D3B688829",1)</f>
        <v>=DISPIMG("ID_86BD1C63B36A467E878E7C1D3B688829",1)</v>
      </c>
      <c r="D89" s="109" t="s">
        <v>215</v>
      </c>
      <c r="E89" s="28">
        <v>106</v>
      </c>
      <c r="F89" s="38">
        <v>94</v>
      </c>
      <c r="G89" s="38">
        <v>90</v>
      </c>
      <c r="H89" s="38">
        <v>93</v>
      </c>
      <c r="I89" s="38">
        <v>75</v>
      </c>
      <c r="J89" s="38">
        <v>105</v>
      </c>
      <c r="K89" s="22">
        <v>563</v>
      </c>
      <c r="L89" s="111">
        <v>274</v>
      </c>
      <c r="M89" s="111">
        <v>186</v>
      </c>
      <c r="N89" s="112"/>
      <c r="O89" s="112"/>
      <c r="P89" s="112"/>
      <c r="Q89" s="112"/>
      <c r="R89" s="2"/>
      <c r="S89" s="2"/>
    </row>
    <row r="90" ht="87.7" customHeight="1" spans="1:19">
      <c r="A90" s="49">
        <v>415</v>
      </c>
      <c r="B90" s="49" t="s">
        <v>57</v>
      </c>
      <c r="C90" s="50" t="str">
        <f>_xlfn.DISPIMG("ID_D356BB6EAED04FEA9511D7AEB57AE473",1)</f>
        <v>=DISPIMG("ID_D356BB6EAED04FEA9511D7AEB57AE473",1)</v>
      </c>
      <c r="D90" s="49" t="s">
        <v>58</v>
      </c>
      <c r="E90" s="28">
        <v>75</v>
      </c>
      <c r="F90" s="38">
        <v>75</v>
      </c>
      <c r="G90" s="38">
        <v>110</v>
      </c>
      <c r="H90" s="38">
        <v>95</v>
      </c>
      <c r="I90" s="38">
        <v>105</v>
      </c>
      <c r="J90" s="38">
        <v>102</v>
      </c>
      <c r="K90" s="22">
        <v>562</v>
      </c>
      <c r="L90" s="52">
        <v>340</v>
      </c>
      <c r="M90" s="52">
        <v>246</v>
      </c>
      <c r="N90" s="54"/>
      <c r="O90" s="54" t="s">
        <v>21</v>
      </c>
      <c r="P90" s="54" t="s">
        <v>21</v>
      </c>
      <c r="Q90" s="54"/>
      <c r="R90" s="2"/>
      <c r="S90" s="2"/>
    </row>
    <row r="91" ht="87.7" customHeight="1" spans="1:19">
      <c r="A91" s="118">
        <v>408</v>
      </c>
      <c r="B91" s="118" t="s">
        <v>115</v>
      </c>
      <c r="C91" s="119" t="str">
        <f>_xlfn.DISPIMG("ID_3112AFC613414B91876D228C4AE833AC",1)</f>
        <v>=DISPIMG("ID_3112AFC613414B91876D228C4AE833AC",1)</v>
      </c>
      <c r="D91" s="118" t="s">
        <v>137</v>
      </c>
      <c r="E91" s="28">
        <v>110</v>
      </c>
      <c r="F91" s="38">
        <v>85</v>
      </c>
      <c r="G91" s="38">
        <v>75</v>
      </c>
      <c r="H91" s="38">
        <v>80</v>
      </c>
      <c r="I91" s="38">
        <v>92</v>
      </c>
      <c r="J91" s="38">
        <v>120</v>
      </c>
      <c r="K91" s="22">
        <v>562</v>
      </c>
      <c r="L91" s="120">
        <v>312</v>
      </c>
      <c r="M91" s="120">
        <v>220</v>
      </c>
      <c r="N91" s="121"/>
      <c r="O91" s="121"/>
      <c r="P91" s="121"/>
      <c r="Q91" s="121"/>
      <c r="R91" s="2"/>
      <c r="S91" s="2"/>
    </row>
    <row r="92" ht="87.7" customHeight="1" spans="1:19">
      <c r="A92" s="101">
        <v>234</v>
      </c>
      <c r="B92" s="101" t="s">
        <v>86</v>
      </c>
      <c r="C92" s="102" t="str">
        <f>_xlfn.DISPIMG("ID_E7CAD3FBD382455696D1D58FC1DABD1A",1)</f>
        <v>=DISPIMG("ID_E7CAD3FBD382455696D1D58FC1DABD1A",1)</v>
      </c>
      <c r="D92" s="101" t="s">
        <v>206</v>
      </c>
      <c r="E92" s="28">
        <v>78</v>
      </c>
      <c r="F92" s="38">
        <v>84</v>
      </c>
      <c r="G92" s="38">
        <v>100</v>
      </c>
      <c r="H92" s="38">
        <v>120</v>
      </c>
      <c r="I92" s="38">
        <v>80</v>
      </c>
      <c r="J92" s="38">
        <v>100</v>
      </c>
      <c r="K92" s="22">
        <v>562</v>
      </c>
      <c r="L92" s="103">
        <v>285</v>
      </c>
      <c r="M92" s="103">
        <v>196</v>
      </c>
      <c r="N92" s="104"/>
      <c r="O92" s="104"/>
      <c r="P92" s="104"/>
      <c r="Q92" s="104"/>
      <c r="R92" s="2"/>
      <c r="S92" s="2"/>
    </row>
    <row r="93" ht="87.7" customHeight="1" spans="1:19">
      <c r="A93" s="72">
        <v>224</v>
      </c>
      <c r="B93" s="72" t="s">
        <v>45</v>
      </c>
      <c r="C93" s="73" t="str">
        <f>_xlfn.DISPIMG("ID_23F007BEC3654BEDB444C2DA74C2B19F",1)</f>
        <v>=DISPIMG("ID_23F007BEC3654BEDB444C2DA74C2B19F",1)</v>
      </c>
      <c r="D93" s="72" t="s">
        <v>214</v>
      </c>
      <c r="E93" s="28">
        <v>108</v>
      </c>
      <c r="F93" s="38">
        <v>88</v>
      </c>
      <c r="G93" s="38">
        <v>104</v>
      </c>
      <c r="H93" s="38">
        <v>86</v>
      </c>
      <c r="I93" s="38">
        <v>75</v>
      </c>
      <c r="J93" s="38">
        <v>101</v>
      </c>
      <c r="K93" s="22">
        <v>562</v>
      </c>
      <c r="L93" s="74">
        <v>274</v>
      </c>
      <c r="M93" s="74">
        <v>186</v>
      </c>
      <c r="N93" s="75"/>
      <c r="O93" s="75"/>
      <c r="P93" s="75"/>
      <c r="Q93" s="75" t="s">
        <v>21</v>
      </c>
      <c r="R93" s="2"/>
      <c r="S93" s="2"/>
    </row>
    <row r="94" ht="87.7" customHeight="1" spans="1:19">
      <c r="A94" s="219">
        <v>438</v>
      </c>
      <c r="B94" s="219" t="s">
        <v>125</v>
      </c>
      <c r="C94" s="220" t="str">
        <f>_xlfn.DISPIMG("ID_FFC6774D17C34067996FAEDC25DCF461",1)</f>
        <v>=DISPIMG("ID_FFC6774D17C34067996FAEDC25DCF461",1)</v>
      </c>
      <c r="D94" s="219" t="s">
        <v>133</v>
      </c>
      <c r="E94" s="28">
        <v>98</v>
      </c>
      <c r="F94" s="38">
        <v>75</v>
      </c>
      <c r="G94" s="38">
        <v>116</v>
      </c>
      <c r="H94" s="38">
        <v>80</v>
      </c>
      <c r="I94" s="38">
        <v>93</v>
      </c>
      <c r="J94" s="38">
        <v>99</v>
      </c>
      <c r="K94" s="22">
        <v>561</v>
      </c>
      <c r="L94" s="221">
        <v>314</v>
      </c>
      <c r="M94" s="221">
        <v>222</v>
      </c>
      <c r="N94" s="222"/>
      <c r="O94" s="222"/>
      <c r="P94" s="222" t="s">
        <v>21</v>
      </c>
      <c r="Q94" s="222"/>
      <c r="R94" s="2"/>
      <c r="S94" s="2"/>
    </row>
    <row r="95" ht="87.7" customHeight="1" spans="1:19">
      <c r="A95" s="114">
        <v>481</v>
      </c>
      <c r="B95" s="114" t="s">
        <v>90</v>
      </c>
      <c r="C95" s="115" t="str">
        <f>_xlfn.DISPIMG("ID_AF277631D28A49AF990B0127C65FC099",1)</f>
        <v>=DISPIMG("ID_AF277631D28A49AF990B0127C65FC099",1)</v>
      </c>
      <c r="D95" s="114" t="s">
        <v>149</v>
      </c>
      <c r="E95" s="28">
        <v>83</v>
      </c>
      <c r="F95" s="38">
        <v>81</v>
      </c>
      <c r="G95" s="38">
        <v>106</v>
      </c>
      <c r="H95" s="38">
        <v>82</v>
      </c>
      <c r="I95" s="38">
        <v>91</v>
      </c>
      <c r="J95" s="38">
        <v>118</v>
      </c>
      <c r="K95" s="22">
        <v>561</v>
      </c>
      <c r="L95" s="116">
        <v>309</v>
      </c>
      <c r="M95" s="116">
        <v>218</v>
      </c>
      <c r="N95" s="117" t="s">
        <v>21</v>
      </c>
      <c r="O95" s="117"/>
      <c r="P95" s="117"/>
      <c r="Q95" s="117"/>
      <c r="R95" s="2"/>
      <c r="S95" s="2"/>
    </row>
    <row r="96" ht="87.7" customHeight="1" spans="1:19">
      <c r="A96" s="55">
        <v>368</v>
      </c>
      <c r="B96" s="55" t="s">
        <v>28</v>
      </c>
      <c r="C96" s="56" t="str">
        <f>_xlfn.DISPIMG("ID_B9671C053FC049E39B13D789265DCE8A",1)</f>
        <v>=DISPIMG("ID_B9671C053FC049E39B13D789265DCE8A",1)</v>
      </c>
      <c r="D96" s="55" t="s">
        <v>54</v>
      </c>
      <c r="E96" s="28">
        <v>88</v>
      </c>
      <c r="F96" s="38">
        <v>75</v>
      </c>
      <c r="G96" s="38">
        <v>115</v>
      </c>
      <c r="H96" s="38">
        <v>75</v>
      </c>
      <c r="I96" s="38">
        <v>105</v>
      </c>
      <c r="J96" s="38">
        <v>102</v>
      </c>
      <c r="K96" s="22">
        <v>560</v>
      </c>
      <c r="L96" s="57">
        <v>340</v>
      </c>
      <c r="M96" s="57">
        <v>246</v>
      </c>
      <c r="N96" s="59" t="s">
        <v>21</v>
      </c>
      <c r="O96" s="59" t="s">
        <v>21</v>
      </c>
      <c r="P96" s="59"/>
      <c r="Q96" s="59"/>
      <c r="R96" s="2"/>
      <c r="S96" s="2"/>
    </row>
    <row r="97" ht="87.7" customHeight="1" spans="1:19">
      <c r="A97" s="223">
        <v>426</v>
      </c>
      <c r="B97" s="223" t="s">
        <v>59</v>
      </c>
      <c r="C97" s="224" t="str">
        <f>_xlfn.DISPIMG("ID_CA12AF7EFFC740E991ED16393545A035",1)</f>
        <v>=DISPIMG("ID_CA12AF7EFFC740E991ED16393545A035",1)</v>
      </c>
      <c r="D97" s="225" t="s">
        <v>60</v>
      </c>
      <c r="E97" s="28">
        <v>72</v>
      </c>
      <c r="F97" s="38">
        <v>84</v>
      </c>
      <c r="G97" s="38">
        <v>106</v>
      </c>
      <c r="H97" s="38">
        <v>88</v>
      </c>
      <c r="I97" s="38">
        <v>105</v>
      </c>
      <c r="J97" s="38">
        <v>105</v>
      </c>
      <c r="K97" s="22">
        <v>560</v>
      </c>
      <c r="L97" s="226">
        <v>340</v>
      </c>
      <c r="M97" s="226">
        <v>246</v>
      </c>
      <c r="N97" s="227" t="s">
        <v>21</v>
      </c>
      <c r="O97" s="227"/>
      <c r="P97" s="227"/>
      <c r="Q97" s="227"/>
      <c r="R97" s="2"/>
      <c r="S97" s="2"/>
    </row>
    <row r="98" ht="87.7" customHeight="1" spans="1:19">
      <c r="A98" s="173">
        <v>345</v>
      </c>
      <c r="B98" s="173" t="s">
        <v>34</v>
      </c>
      <c r="C98" s="174" t="str">
        <f>_xlfn.DISPIMG("ID_EB80CB92F8FD4630998AEB396D832D70",1)</f>
        <v>=DISPIMG("ID_EB80CB92F8FD4630998AEB396D832D70",1)</v>
      </c>
      <c r="D98" s="173" t="s">
        <v>68</v>
      </c>
      <c r="E98" s="28">
        <v>108</v>
      </c>
      <c r="F98" s="38">
        <v>82</v>
      </c>
      <c r="G98" s="38">
        <v>89</v>
      </c>
      <c r="H98" s="38">
        <v>76</v>
      </c>
      <c r="I98" s="38">
        <v>103</v>
      </c>
      <c r="J98" s="38">
        <v>102</v>
      </c>
      <c r="K98" s="22">
        <v>560</v>
      </c>
      <c r="L98" s="175">
        <v>336</v>
      </c>
      <c r="M98" s="175">
        <v>242</v>
      </c>
      <c r="N98" s="176" t="s">
        <v>21</v>
      </c>
      <c r="O98" s="176"/>
      <c r="P98" s="176"/>
      <c r="Q98" s="176"/>
      <c r="R98" s="2"/>
      <c r="S98" s="2"/>
    </row>
    <row r="99" ht="87.7" customHeight="1" spans="1:19">
      <c r="A99" s="228">
        <v>365</v>
      </c>
      <c r="B99" s="228" t="s">
        <v>28</v>
      </c>
      <c r="C99" s="229" t="str">
        <f>_xlfn.DISPIMG("ID_F2C71426184447E9863D39377DE65AD1",1)</f>
        <v>=DISPIMG("ID_F2C71426184447E9863D39377DE65AD1",1)</v>
      </c>
      <c r="D99" s="228" t="s">
        <v>92</v>
      </c>
      <c r="E99" s="28">
        <v>108</v>
      </c>
      <c r="F99" s="38">
        <v>85</v>
      </c>
      <c r="G99" s="38">
        <v>85</v>
      </c>
      <c r="H99" s="38">
        <v>87</v>
      </c>
      <c r="I99" s="38">
        <v>100</v>
      </c>
      <c r="J99" s="38">
        <v>95</v>
      </c>
      <c r="K99" s="22">
        <v>560</v>
      </c>
      <c r="L99" s="230">
        <v>329</v>
      </c>
      <c r="M99" s="230">
        <v>236</v>
      </c>
      <c r="N99" s="231" t="s">
        <v>21</v>
      </c>
      <c r="O99" s="231"/>
      <c r="P99" s="231"/>
      <c r="Q99" s="231"/>
      <c r="R99" s="2"/>
      <c r="S99" s="2"/>
    </row>
    <row r="100" ht="87.7" customHeight="1" spans="1:19">
      <c r="A100" s="101">
        <v>418</v>
      </c>
      <c r="B100" s="101" t="s">
        <v>86</v>
      </c>
      <c r="C100" s="102" t="str">
        <f>_xlfn.DISPIMG("ID_60E5FC53CEF646FEBCE3E71C28C42A87",1)</f>
        <v>=DISPIMG("ID_60E5FC53CEF646FEBCE3E71C28C42A87",1)</v>
      </c>
      <c r="D100" s="122" t="s">
        <v>93</v>
      </c>
      <c r="E100" s="28">
        <v>80</v>
      </c>
      <c r="F100" s="38">
        <v>77</v>
      </c>
      <c r="G100" s="38">
        <v>118</v>
      </c>
      <c r="H100" s="38">
        <v>90</v>
      </c>
      <c r="I100" s="38">
        <v>100</v>
      </c>
      <c r="J100" s="38">
        <v>95</v>
      </c>
      <c r="K100" s="22">
        <v>560</v>
      </c>
      <c r="L100" s="103">
        <v>329</v>
      </c>
      <c r="M100" s="103">
        <v>236</v>
      </c>
      <c r="N100" s="104"/>
      <c r="O100" s="104"/>
      <c r="P100" s="104"/>
      <c r="Q100" s="104"/>
      <c r="R100" s="2"/>
      <c r="S100" s="2"/>
    </row>
    <row r="101" ht="87.7" customHeight="1" spans="1:19">
      <c r="A101" s="232">
        <v>447</v>
      </c>
      <c r="B101" s="232" t="s">
        <v>101</v>
      </c>
      <c r="C101" s="233" t="str">
        <f>_xlfn.DISPIMG("ID_A5DFD90C76A2405AAD21D3A64367E425",1)</f>
        <v>=DISPIMG("ID_A5DFD90C76A2405AAD21D3A64367E425",1)</v>
      </c>
      <c r="D101" s="232" t="s">
        <v>102</v>
      </c>
      <c r="E101" s="28">
        <v>80</v>
      </c>
      <c r="F101" s="38">
        <v>76</v>
      </c>
      <c r="G101" s="38">
        <v>115</v>
      </c>
      <c r="H101" s="38">
        <v>88</v>
      </c>
      <c r="I101" s="38">
        <v>98</v>
      </c>
      <c r="J101" s="38">
        <v>103</v>
      </c>
      <c r="K101" s="22">
        <v>560</v>
      </c>
      <c r="L101" s="234">
        <v>325</v>
      </c>
      <c r="M101" s="234">
        <v>232</v>
      </c>
      <c r="N101" s="235"/>
      <c r="O101" s="235"/>
      <c r="P101" s="235"/>
      <c r="Q101" s="235"/>
      <c r="R101" s="2"/>
      <c r="S101" s="2"/>
    </row>
    <row r="102" ht="87.7" customHeight="1" spans="1:19">
      <c r="A102" s="236">
        <v>453</v>
      </c>
      <c r="B102" s="236" t="s">
        <v>119</v>
      </c>
      <c r="C102" s="237" t="str">
        <f>_xlfn.DISPIMG("ID_06F70C42C3C04D1CB63273A388791347",1)</f>
        <v>=DISPIMG("ID_06F70C42C3C04D1CB63273A388791347",1)</v>
      </c>
      <c r="D102" s="236" t="s">
        <v>120</v>
      </c>
      <c r="E102" s="28">
        <v>110</v>
      </c>
      <c r="F102" s="38">
        <v>87</v>
      </c>
      <c r="G102" s="38">
        <v>80</v>
      </c>
      <c r="H102" s="38">
        <v>83</v>
      </c>
      <c r="I102" s="38">
        <v>95</v>
      </c>
      <c r="J102" s="38">
        <v>105</v>
      </c>
      <c r="K102" s="22">
        <v>560</v>
      </c>
      <c r="L102" s="238">
        <v>318</v>
      </c>
      <c r="M102" s="238">
        <v>226</v>
      </c>
      <c r="N102" s="239"/>
      <c r="O102" s="239"/>
      <c r="P102" s="239"/>
      <c r="Q102" s="239"/>
      <c r="R102" s="2"/>
      <c r="S102" s="2"/>
    </row>
    <row r="103" ht="87.7" customHeight="1" spans="1:19">
      <c r="A103" s="240">
        <v>465</v>
      </c>
      <c r="B103" s="240" t="s">
        <v>90</v>
      </c>
      <c r="C103" s="241" t="str">
        <f>_xlfn.DISPIMG("ID_22A71895A1C9462882F4553D6B08A7DC",1)</f>
        <v>=DISPIMG("ID_22A71895A1C9462882F4553D6B08A7DC",1)</v>
      </c>
      <c r="D103" s="240" t="s">
        <v>127</v>
      </c>
      <c r="E103" s="28">
        <v>98</v>
      </c>
      <c r="F103" s="38">
        <v>79</v>
      </c>
      <c r="G103" s="38">
        <v>105</v>
      </c>
      <c r="H103" s="38">
        <v>78</v>
      </c>
      <c r="I103" s="38">
        <v>94</v>
      </c>
      <c r="J103" s="38">
        <v>106</v>
      </c>
      <c r="K103" s="22">
        <v>560</v>
      </c>
      <c r="L103" s="242">
        <v>316</v>
      </c>
      <c r="M103" s="242">
        <v>224</v>
      </c>
      <c r="N103" s="243" t="s">
        <v>21</v>
      </c>
      <c r="O103" s="243"/>
      <c r="P103" s="243"/>
      <c r="Q103" s="243"/>
      <c r="R103" s="2"/>
      <c r="S103" s="2"/>
    </row>
    <row r="104" ht="87.7" customHeight="1" spans="1:19">
      <c r="A104" s="118">
        <v>441</v>
      </c>
      <c r="B104" s="118" t="s">
        <v>115</v>
      </c>
      <c r="C104" s="119" t="str">
        <f>_xlfn.DISPIMG("ID_837C659722F04F2CB1940D5E9A9452F4",1)</f>
        <v>=DISPIMG("ID_837C659722F04F2CB1940D5E9A9452F4",1)</v>
      </c>
      <c r="D104" s="118" t="s">
        <v>134</v>
      </c>
      <c r="E104" s="28">
        <v>85</v>
      </c>
      <c r="F104" s="38">
        <v>114</v>
      </c>
      <c r="G104" s="38">
        <v>73</v>
      </c>
      <c r="H104" s="38">
        <v>85</v>
      </c>
      <c r="I104" s="38">
        <v>93</v>
      </c>
      <c r="J104" s="38">
        <v>110</v>
      </c>
      <c r="K104" s="22">
        <v>560</v>
      </c>
      <c r="L104" s="120">
        <v>314</v>
      </c>
      <c r="M104" s="120">
        <v>222</v>
      </c>
      <c r="N104" s="121"/>
      <c r="O104" s="121"/>
      <c r="P104" s="121"/>
      <c r="Q104" s="121"/>
      <c r="R104" s="2"/>
      <c r="S104" s="2"/>
    </row>
    <row r="105" ht="87.7" customHeight="1" spans="1:19">
      <c r="A105" s="64">
        <v>290</v>
      </c>
      <c r="B105" s="64" t="s">
        <v>38</v>
      </c>
      <c r="C105" s="65" t="str">
        <f>_xlfn.DISPIMG("ID_543094593EC644E7A7E991EF5B19103F",1)</f>
        <v>=DISPIMG("ID_543094593EC644E7A7E991EF5B19103F",1)</v>
      </c>
      <c r="D105" s="64" t="s">
        <v>155</v>
      </c>
      <c r="E105" s="28">
        <v>86</v>
      </c>
      <c r="F105" s="38">
        <v>78</v>
      </c>
      <c r="G105" s="38">
        <v>108</v>
      </c>
      <c r="H105" s="38">
        <v>98</v>
      </c>
      <c r="I105" s="38">
        <v>90</v>
      </c>
      <c r="J105" s="38">
        <v>100</v>
      </c>
      <c r="K105" s="22">
        <v>560</v>
      </c>
      <c r="L105" s="66">
        <v>307</v>
      </c>
      <c r="M105" s="66">
        <v>216</v>
      </c>
      <c r="N105" s="67" t="s">
        <v>21</v>
      </c>
      <c r="O105" s="67"/>
      <c r="P105" s="67" t="s">
        <v>21</v>
      </c>
      <c r="Q105" s="67"/>
      <c r="R105" s="2"/>
      <c r="S105" s="2"/>
    </row>
    <row r="106" ht="87.7" customHeight="1" spans="1:19">
      <c r="A106" s="114">
        <v>218</v>
      </c>
      <c r="B106" s="114" t="s">
        <v>90</v>
      </c>
      <c r="C106" s="115" t="str">
        <f>_xlfn.DISPIMG("ID_830491BC2B814685AB761B9E8FB35AA6",1)</f>
        <v>=DISPIMG("ID_830491BC2B814685AB761B9E8FB35AA6",1)</v>
      </c>
      <c r="D106" s="114" t="s">
        <v>169</v>
      </c>
      <c r="E106" s="28">
        <v>88</v>
      </c>
      <c r="F106" s="38">
        <v>75</v>
      </c>
      <c r="G106" s="38">
        <v>120</v>
      </c>
      <c r="H106" s="38">
        <v>90</v>
      </c>
      <c r="I106" s="38">
        <v>87</v>
      </c>
      <c r="J106" s="38">
        <v>100</v>
      </c>
      <c r="K106" s="22">
        <v>560</v>
      </c>
      <c r="L106" s="116">
        <v>301</v>
      </c>
      <c r="M106" s="116">
        <v>210</v>
      </c>
      <c r="N106" s="117" t="s">
        <v>21</v>
      </c>
      <c r="O106" s="117"/>
      <c r="P106" s="117" t="s">
        <v>21</v>
      </c>
      <c r="Q106" s="117"/>
      <c r="R106" s="2"/>
      <c r="S106" s="2"/>
    </row>
    <row r="107" ht="87.7" customHeight="1" spans="1:19">
      <c r="A107" s="244">
        <v>202</v>
      </c>
      <c r="B107" s="244" t="s">
        <v>45</v>
      </c>
      <c r="C107" s="245" t="str">
        <f>_xlfn.DISPIMG("ID_0D7D4BE05F2D4D038C743519D9EA986E",1)</f>
        <v>=DISPIMG("ID_0D7D4BE05F2D4D038C743519D9EA986E",1)</v>
      </c>
      <c r="D107" s="244" t="s">
        <v>205</v>
      </c>
      <c r="E107" s="28">
        <v>85</v>
      </c>
      <c r="F107" s="38">
        <v>85</v>
      </c>
      <c r="G107" s="38">
        <v>115</v>
      </c>
      <c r="H107" s="38">
        <v>95</v>
      </c>
      <c r="I107" s="38">
        <v>80</v>
      </c>
      <c r="J107" s="38">
        <v>100</v>
      </c>
      <c r="K107" s="22">
        <v>560</v>
      </c>
      <c r="L107" s="246">
        <v>285</v>
      </c>
      <c r="M107" s="246">
        <v>196</v>
      </c>
      <c r="N107" s="247" t="s">
        <v>21</v>
      </c>
      <c r="O107" s="247"/>
      <c r="P107" s="247"/>
      <c r="Q107" s="247"/>
      <c r="R107" s="2"/>
      <c r="S107" s="2"/>
    </row>
    <row r="108" ht="87.7" customHeight="1" spans="1:19">
      <c r="A108" s="248">
        <v>369</v>
      </c>
      <c r="B108" s="248" t="s">
        <v>125</v>
      </c>
      <c r="C108" s="249" t="str">
        <f>_xlfn.DISPIMG("ID_17199843C3C7402C89513150CC9F7A72",1)</f>
        <v>=DISPIMG("ID_17199843C3C7402C89513150CC9F7A72",1)</v>
      </c>
      <c r="D108" s="248" t="s">
        <v>212</v>
      </c>
      <c r="E108" s="28">
        <v>80</v>
      </c>
      <c r="F108" s="38">
        <v>99</v>
      </c>
      <c r="G108" s="38">
        <v>80</v>
      </c>
      <c r="H108" s="38">
        <v>115</v>
      </c>
      <c r="I108" s="38">
        <v>76</v>
      </c>
      <c r="J108" s="38">
        <v>110</v>
      </c>
      <c r="K108" s="22">
        <v>560</v>
      </c>
      <c r="L108" s="250">
        <v>276</v>
      </c>
      <c r="M108" s="250">
        <v>188</v>
      </c>
      <c r="N108" s="251"/>
      <c r="O108" s="251"/>
      <c r="P108" s="251"/>
      <c r="Q108" s="251"/>
      <c r="R108" s="2"/>
      <c r="S108" s="2"/>
    </row>
    <row r="109" ht="87.7" customHeight="1" spans="1:19">
      <c r="A109" s="55">
        <v>337</v>
      </c>
      <c r="B109" s="55" t="s">
        <v>28</v>
      </c>
      <c r="C109" s="56" t="str">
        <f>_xlfn.DISPIMG("ID_A8412B5E3AF04AA8B5AF44F5325EB1EB",1)</f>
        <v>=DISPIMG("ID_A8412B5E3AF04AA8B5AF44F5325EB1EB",1)</v>
      </c>
      <c r="D109" s="55" t="s">
        <v>143</v>
      </c>
      <c r="E109" s="28">
        <v>106</v>
      </c>
      <c r="F109" s="38">
        <v>78</v>
      </c>
      <c r="G109" s="38">
        <v>77</v>
      </c>
      <c r="H109" s="38">
        <v>99</v>
      </c>
      <c r="I109" s="38">
        <v>91</v>
      </c>
      <c r="J109" s="38">
        <v>107</v>
      </c>
      <c r="K109" s="22">
        <v>558</v>
      </c>
      <c r="L109" s="57">
        <v>309</v>
      </c>
      <c r="M109" s="57">
        <v>218</v>
      </c>
      <c r="N109" s="59" t="s">
        <v>21</v>
      </c>
      <c r="O109" s="59"/>
      <c r="P109" s="59"/>
      <c r="Q109" s="59"/>
      <c r="R109" s="2"/>
      <c r="S109" s="2"/>
    </row>
    <row r="110" ht="87.7" customHeight="1" spans="1:19">
      <c r="A110" s="64">
        <v>110</v>
      </c>
      <c r="B110" s="64" t="s">
        <v>38</v>
      </c>
      <c r="C110" s="65" t="str">
        <f>_xlfn.DISPIMG("ID_31DBE026FA9D49CEB57862332A4F982A",1)</f>
        <v>=DISPIMG("ID_31DBE026FA9D49CEB57862332A4F982A",1)</v>
      </c>
      <c r="D110" s="64" t="s">
        <v>177</v>
      </c>
      <c r="E110" s="28">
        <v>84</v>
      </c>
      <c r="F110" s="38">
        <v>80</v>
      </c>
      <c r="G110" s="38">
        <v>116</v>
      </c>
      <c r="H110" s="38">
        <v>96</v>
      </c>
      <c r="I110" s="38">
        <v>85</v>
      </c>
      <c r="J110" s="38">
        <v>97</v>
      </c>
      <c r="K110" s="22">
        <v>558</v>
      </c>
      <c r="L110" s="66">
        <v>296</v>
      </c>
      <c r="M110" s="66">
        <v>206</v>
      </c>
      <c r="N110" s="67"/>
      <c r="O110" s="67"/>
      <c r="P110" s="67"/>
      <c r="Q110" s="67"/>
      <c r="R110" s="2"/>
      <c r="S110" s="2"/>
    </row>
    <row r="111" ht="87.7" customHeight="1" spans="1:19">
      <c r="A111" s="55">
        <v>210</v>
      </c>
      <c r="B111" s="55" t="s">
        <v>28</v>
      </c>
      <c r="C111" s="56" t="str">
        <f>_xlfn.DISPIMG("ID_2E235548409D4EE4A814B79213802045",1)</f>
        <v>=DISPIMG("ID_2E235548409D4EE4A814B79213802045",1)</v>
      </c>
      <c r="D111" s="55" t="s">
        <v>194</v>
      </c>
      <c r="E111" s="28">
        <v>84</v>
      </c>
      <c r="F111" s="38">
        <v>95</v>
      </c>
      <c r="G111" s="38">
        <v>98</v>
      </c>
      <c r="H111" s="38">
        <v>99</v>
      </c>
      <c r="I111" s="38">
        <v>82</v>
      </c>
      <c r="J111" s="38">
        <v>100</v>
      </c>
      <c r="K111" s="22">
        <v>558</v>
      </c>
      <c r="L111" s="57">
        <v>290</v>
      </c>
      <c r="M111" s="57">
        <v>200</v>
      </c>
      <c r="N111" s="59"/>
      <c r="O111" s="59"/>
      <c r="P111" s="59"/>
      <c r="Q111" s="59"/>
      <c r="R111" s="2"/>
      <c r="S111" s="2"/>
    </row>
    <row r="112" ht="87.7" customHeight="1" spans="1:19">
      <c r="A112" s="252">
        <v>435</v>
      </c>
      <c r="B112" s="252" t="s">
        <v>28</v>
      </c>
      <c r="C112" s="253" t="str">
        <f>_xlfn.DISPIMG("ID_DB0AB2792E2F411488ABC038C3C3FE8E",1)</f>
        <v>=DISPIMG("ID_DB0AB2792E2F411488ABC038C3C3FE8E",1)</v>
      </c>
      <c r="D112" s="252" t="s">
        <v>75</v>
      </c>
      <c r="E112" s="28">
        <v>110</v>
      </c>
      <c r="F112" s="38">
        <v>85</v>
      </c>
      <c r="G112" s="38">
        <v>80</v>
      </c>
      <c r="H112" s="38">
        <v>80</v>
      </c>
      <c r="I112" s="38">
        <v>102</v>
      </c>
      <c r="J112" s="38">
        <v>100</v>
      </c>
      <c r="K112" s="22">
        <v>557</v>
      </c>
      <c r="L112" s="58">
        <v>334</v>
      </c>
      <c r="M112" s="58">
        <v>240</v>
      </c>
      <c r="N112" s="254"/>
      <c r="O112" s="254"/>
      <c r="P112" s="254"/>
      <c r="Q112" s="254" t="s">
        <v>21</v>
      </c>
      <c r="R112" s="2"/>
      <c r="S112" s="2"/>
    </row>
    <row r="113" ht="87.7" customHeight="1" spans="1:19">
      <c r="A113" s="60">
        <v>245</v>
      </c>
      <c r="B113" s="60" t="s">
        <v>125</v>
      </c>
      <c r="C113" s="61" t="str">
        <f>_xlfn.DISPIMG("ID_F73C98B04F494050B175B81C310E9B9C",1)</f>
        <v>=DISPIMG("ID_F73C98B04F494050B175B81C310E9B9C",1)</v>
      </c>
      <c r="D113" s="60" t="s">
        <v>131</v>
      </c>
      <c r="E113" s="28">
        <v>112</v>
      </c>
      <c r="F113" s="38">
        <v>86</v>
      </c>
      <c r="G113" s="38">
        <v>84</v>
      </c>
      <c r="H113" s="38">
        <v>74</v>
      </c>
      <c r="I113" s="38">
        <v>93</v>
      </c>
      <c r="J113" s="38">
        <v>108</v>
      </c>
      <c r="K113" s="22">
        <v>557</v>
      </c>
      <c r="L113" s="62">
        <v>314</v>
      </c>
      <c r="M113" s="62">
        <v>222</v>
      </c>
      <c r="N113" s="63" t="s">
        <v>21</v>
      </c>
      <c r="O113" s="255"/>
      <c r="P113" s="218" t="s">
        <v>132</v>
      </c>
      <c r="Q113" s="60"/>
      <c r="R113" s="2"/>
      <c r="S113" s="2"/>
    </row>
    <row r="114" ht="105" customHeight="1" spans="1:19">
      <c r="A114" s="64">
        <v>200</v>
      </c>
      <c r="B114" s="64" t="s">
        <v>38</v>
      </c>
      <c r="C114" s="65" t="str">
        <f>_xlfn.DISPIMG("ID_AB78B766A9F244F59B05DE224DF3F5D8",1)</f>
        <v>=DISPIMG("ID_AB78B766A9F244F59B05DE224DF3F5D8",1)</v>
      </c>
      <c r="D114" s="64" t="s">
        <v>192</v>
      </c>
      <c r="E114" s="28">
        <v>88</v>
      </c>
      <c r="F114" s="38">
        <v>79</v>
      </c>
      <c r="G114" s="38">
        <v>113</v>
      </c>
      <c r="H114" s="38">
        <v>89</v>
      </c>
      <c r="I114" s="38">
        <v>83</v>
      </c>
      <c r="J114" s="38">
        <v>105</v>
      </c>
      <c r="K114" s="22">
        <v>557</v>
      </c>
      <c r="L114" s="66">
        <v>292</v>
      </c>
      <c r="M114" s="66">
        <v>202</v>
      </c>
      <c r="N114" s="67" t="s">
        <v>21</v>
      </c>
      <c r="O114" s="67"/>
      <c r="P114" s="67" t="s">
        <v>21</v>
      </c>
      <c r="Q114" s="67"/>
      <c r="R114" s="2"/>
      <c r="S114" s="2"/>
    </row>
    <row r="115" ht="87.7" customHeight="1" spans="1:19">
      <c r="A115" s="16">
        <v>361</v>
      </c>
      <c r="B115" s="16" t="s">
        <v>17</v>
      </c>
      <c r="C115" s="18" t="str">
        <f>_xlfn.DISPIMG("ID_9E1271ECA3E842AD993BC6F7B768A8A8",1)</f>
        <v>=DISPIMG("ID_9E1271ECA3E842AD993BC6F7B768A8A8",1)</v>
      </c>
      <c r="D115" s="16" t="s">
        <v>220</v>
      </c>
      <c r="E115" s="28">
        <v>95</v>
      </c>
      <c r="F115" s="38">
        <v>90</v>
      </c>
      <c r="G115" s="38">
        <v>100</v>
      </c>
      <c r="H115" s="38">
        <v>90</v>
      </c>
      <c r="I115" s="38">
        <v>72</v>
      </c>
      <c r="J115" s="38">
        <v>110</v>
      </c>
      <c r="K115" s="22">
        <v>557</v>
      </c>
      <c r="L115" s="23">
        <v>268</v>
      </c>
      <c r="M115" s="23">
        <v>180</v>
      </c>
      <c r="N115" s="24"/>
      <c r="O115" s="24"/>
      <c r="P115" s="24"/>
      <c r="Q115" s="24"/>
      <c r="R115" s="2"/>
      <c r="S115" s="2"/>
    </row>
    <row r="116" ht="87.7" customHeight="1" spans="1:19">
      <c r="A116" s="72">
        <v>144</v>
      </c>
      <c r="B116" s="72" t="s">
        <v>45</v>
      </c>
      <c r="C116" s="73" t="str">
        <f>_xlfn.DISPIMG("ID_42DF4F97D47E4E22A8253CA77F5BC387",1)</f>
        <v>=DISPIMG("ID_42DF4F97D47E4E22A8253CA77F5BC387",1)</v>
      </c>
      <c r="D116" s="72" t="s">
        <v>217</v>
      </c>
      <c r="E116" s="28">
        <v>88</v>
      </c>
      <c r="F116" s="38">
        <v>108</v>
      </c>
      <c r="G116" s="38">
        <v>86</v>
      </c>
      <c r="H116" s="38">
        <v>104</v>
      </c>
      <c r="I116" s="38">
        <v>74</v>
      </c>
      <c r="J116" s="38">
        <v>96</v>
      </c>
      <c r="K116" s="22">
        <v>556</v>
      </c>
      <c r="L116" s="74">
        <v>272</v>
      </c>
      <c r="M116" s="74">
        <v>184</v>
      </c>
      <c r="N116" s="75"/>
      <c r="O116" s="75"/>
      <c r="P116" s="75"/>
      <c r="Q116" s="75"/>
      <c r="R116" s="2"/>
      <c r="S116" s="2"/>
    </row>
    <row r="117" ht="87.7" customHeight="1" spans="1:19">
      <c r="A117" s="105">
        <v>222</v>
      </c>
      <c r="B117" s="105" t="s">
        <v>52</v>
      </c>
      <c r="C117" s="113" t="str">
        <f>_xlfn.DISPIMG("ID_D99833A361C44B659B909031E3939B21",1)</f>
        <v>=DISPIMG("ID_D99833A361C44B659B909031E3939B21",1)</v>
      </c>
      <c r="D117" s="105" t="s">
        <v>142</v>
      </c>
      <c r="E117" s="28">
        <v>89</v>
      </c>
      <c r="F117" s="38">
        <v>82</v>
      </c>
      <c r="G117" s="38">
        <v>106</v>
      </c>
      <c r="H117" s="38">
        <v>84</v>
      </c>
      <c r="I117" s="38">
        <v>91</v>
      </c>
      <c r="J117" s="38">
        <v>103</v>
      </c>
      <c r="K117" s="22">
        <v>555</v>
      </c>
      <c r="L117" s="107">
        <v>309</v>
      </c>
      <c r="M117" s="107">
        <v>218</v>
      </c>
      <c r="N117" s="108" t="s">
        <v>21</v>
      </c>
      <c r="O117" s="108"/>
      <c r="P117" s="108"/>
      <c r="Q117" s="108"/>
      <c r="R117" s="2"/>
      <c r="S117" s="2"/>
    </row>
    <row r="118" ht="87.7" customHeight="1" spans="1:19">
      <c r="A118" s="68">
        <v>411</v>
      </c>
      <c r="B118" s="68" t="s">
        <v>115</v>
      </c>
      <c r="C118" s="69" t="str">
        <f>_xlfn.DISPIMG("ID_85A9E84CCEAD41AABF9986C7B88A18F4",1)</f>
        <v>=DISPIMG("ID_85A9E84CCEAD41AABF9986C7B88A18F4",1)</v>
      </c>
      <c r="D118" s="68" t="s">
        <v>209</v>
      </c>
      <c r="E118" s="28">
        <v>86</v>
      </c>
      <c r="F118" s="38">
        <v>84</v>
      </c>
      <c r="G118" s="38">
        <v>110</v>
      </c>
      <c r="H118" s="38">
        <v>90</v>
      </c>
      <c r="I118" s="38">
        <v>80</v>
      </c>
      <c r="J118" s="38">
        <v>105</v>
      </c>
      <c r="K118" s="22">
        <v>555</v>
      </c>
      <c r="L118" s="70">
        <v>285</v>
      </c>
      <c r="M118" s="70">
        <v>196</v>
      </c>
      <c r="N118" s="71"/>
      <c r="O118" s="71"/>
      <c r="P118" s="71"/>
      <c r="Q118" s="71"/>
      <c r="R118" s="2"/>
      <c r="S118" s="2"/>
    </row>
    <row r="119" ht="87.7" customHeight="1" spans="1:19">
      <c r="A119" s="72">
        <v>214</v>
      </c>
      <c r="B119" s="72" t="s">
        <v>45</v>
      </c>
      <c r="C119" s="73" t="str">
        <f>_xlfn.DISPIMG("ID_FB38885DB9B84727B9AF327D485608AA",1)</f>
        <v>=DISPIMG("ID_FB38885DB9B84727B9AF327D485608AA",1)</v>
      </c>
      <c r="D119" s="256" t="s">
        <v>241</v>
      </c>
      <c r="E119" s="28">
        <v>75</v>
      </c>
      <c r="F119" s="38">
        <v>100</v>
      </c>
      <c r="G119" s="38">
        <v>90</v>
      </c>
      <c r="H119" s="38">
        <v>95</v>
      </c>
      <c r="I119" s="38">
        <v>75</v>
      </c>
      <c r="J119" s="38">
        <v>120</v>
      </c>
      <c r="K119" s="22">
        <v>555</v>
      </c>
      <c r="L119" s="74">
        <v>274</v>
      </c>
      <c r="M119" s="74">
        <v>186</v>
      </c>
      <c r="N119" s="75"/>
      <c r="O119" s="75"/>
      <c r="P119" s="75"/>
      <c r="Q119" s="75"/>
      <c r="R119" s="2"/>
      <c r="S119" s="2"/>
    </row>
    <row r="120" ht="87.7" customHeight="1" spans="1:19">
      <c r="A120" s="257">
        <v>450</v>
      </c>
      <c r="B120" s="257" t="s">
        <v>96</v>
      </c>
      <c r="C120" s="258" t="str">
        <f>_xlfn.DISPIMG("ID_C4622E0CCA0645CFAD53D63EF9EC2B40",1)</f>
        <v>=DISPIMG("ID_C4622E0CCA0645CFAD53D63EF9EC2B40",1)</v>
      </c>
      <c r="D120" s="259" t="s">
        <v>97</v>
      </c>
      <c r="E120" s="28">
        <v>80</v>
      </c>
      <c r="F120" s="38">
        <v>80</v>
      </c>
      <c r="G120" s="38">
        <v>105</v>
      </c>
      <c r="H120" s="38">
        <v>85</v>
      </c>
      <c r="I120" s="38">
        <v>99</v>
      </c>
      <c r="J120" s="38">
        <v>105</v>
      </c>
      <c r="K120" s="22">
        <v>554</v>
      </c>
      <c r="L120" s="260">
        <v>327</v>
      </c>
      <c r="M120" s="260">
        <v>234</v>
      </c>
      <c r="N120" s="261"/>
      <c r="O120" s="261"/>
      <c r="P120" s="261"/>
      <c r="Q120" s="261"/>
      <c r="R120" s="2"/>
      <c r="S120" s="2"/>
    </row>
    <row r="121" ht="87.7" customHeight="1" spans="1:19">
      <c r="A121" s="72">
        <v>288</v>
      </c>
      <c r="B121" s="72" t="s">
        <v>45</v>
      </c>
      <c r="C121" s="73" t="str">
        <f>_xlfn.DISPIMG("ID_D9FF63000927489F88BCE544B7670020",1)</f>
        <v>=DISPIMG("ID_D9FF63000927489F88BCE544B7670020",1)</v>
      </c>
      <c r="D121" s="72" t="s">
        <v>100</v>
      </c>
      <c r="E121" s="28">
        <v>115</v>
      </c>
      <c r="F121" s="38">
        <v>80</v>
      </c>
      <c r="G121" s="38">
        <v>85</v>
      </c>
      <c r="H121" s="38">
        <v>80</v>
      </c>
      <c r="I121" s="38">
        <v>98</v>
      </c>
      <c r="J121" s="38">
        <v>95</v>
      </c>
      <c r="K121" s="22">
        <v>553</v>
      </c>
      <c r="L121" s="74">
        <v>325</v>
      </c>
      <c r="M121" s="74">
        <v>232</v>
      </c>
      <c r="N121" s="75"/>
      <c r="O121" s="75" t="s">
        <v>21</v>
      </c>
      <c r="P121" s="75"/>
      <c r="Q121" s="75"/>
      <c r="R121" s="2"/>
      <c r="S121" s="2"/>
    </row>
    <row r="122" ht="87.7" customHeight="1" spans="1:19">
      <c r="A122" s="186">
        <v>363</v>
      </c>
      <c r="B122" s="186" t="s">
        <v>45</v>
      </c>
      <c r="C122" s="187" t="str">
        <f>_xlfn.DISPIMG("ID_FCD475DCBB1D481C9F867D52CFD3F9C7",1)</f>
        <v>=DISPIMG("ID_FCD475DCBB1D481C9F867D52CFD3F9C7",1)</v>
      </c>
      <c r="D122" s="262" t="s">
        <v>145</v>
      </c>
      <c r="E122" s="28">
        <v>85</v>
      </c>
      <c r="F122" s="38">
        <v>87</v>
      </c>
      <c r="G122" s="38">
        <v>102</v>
      </c>
      <c r="H122" s="38">
        <v>83</v>
      </c>
      <c r="I122" s="38">
        <v>91</v>
      </c>
      <c r="J122" s="38">
        <v>105</v>
      </c>
      <c r="K122" s="22">
        <v>553</v>
      </c>
      <c r="L122" s="188">
        <v>309</v>
      </c>
      <c r="M122" s="188">
        <v>218</v>
      </c>
      <c r="N122" s="189" t="s">
        <v>21</v>
      </c>
      <c r="O122" s="189"/>
      <c r="P122" s="189"/>
      <c r="Q122" s="189"/>
      <c r="R122" s="2"/>
      <c r="S122" s="2"/>
    </row>
    <row r="123" ht="87.7" customHeight="1" spans="1:19">
      <c r="A123" s="177">
        <v>163</v>
      </c>
      <c r="B123" s="177" t="s">
        <v>55</v>
      </c>
      <c r="C123" s="179" t="str">
        <f>_xlfn.DISPIMG("ID_C7D43245374B48928231A75671EDE1C8",1)</f>
        <v>=DISPIMG("ID_C7D43245374B48928231A75671EDE1C8",1)</v>
      </c>
      <c r="D123" s="177" t="s">
        <v>103</v>
      </c>
      <c r="E123" s="28">
        <v>94</v>
      </c>
      <c r="F123" s="38">
        <v>80</v>
      </c>
      <c r="G123" s="38">
        <v>112</v>
      </c>
      <c r="H123" s="38">
        <v>83</v>
      </c>
      <c r="I123" s="38">
        <v>97</v>
      </c>
      <c r="J123" s="38">
        <v>86</v>
      </c>
      <c r="K123" s="22">
        <v>552</v>
      </c>
      <c r="L123" s="180">
        <v>323</v>
      </c>
      <c r="M123" s="180">
        <v>230</v>
      </c>
      <c r="N123" s="181"/>
      <c r="O123" s="181" t="s">
        <v>21</v>
      </c>
      <c r="P123" s="181"/>
      <c r="Q123" s="181"/>
      <c r="R123" s="2"/>
      <c r="S123" s="2"/>
    </row>
    <row r="124" ht="87.7" customHeight="1" spans="1:19">
      <c r="A124" s="114">
        <v>132</v>
      </c>
      <c r="B124" s="114" t="s">
        <v>90</v>
      </c>
      <c r="C124" s="115" t="str">
        <f>_xlfn.DISPIMG("ID_A71C86386F69481BA2B39A37FD8C53AB",1)</f>
        <v>=DISPIMG("ID_A71C86386F69481BA2B39A37FD8C53AB",1)</v>
      </c>
      <c r="D124" s="263" t="s">
        <v>242</v>
      </c>
      <c r="E124" s="28">
        <v>91</v>
      </c>
      <c r="F124" s="38">
        <v>76</v>
      </c>
      <c r="G124" s="38">
        <v>115</v>
      </c>
      <c r="H124" s="38">
        <v>83</v>
      </c>
      <c r="I124" s="38">
        <v>90</v>
      </c>
      <c r="J124" s="38">
        <v>95</v>
      </c>
      <c r="K124" s="22">
        <v>550</v>
      </c>
      <c r="L124" s="116">
        <v>307</v>
      </c>
      <c r="M124" s="116">
        <v>216</v>
      </c>
      <c r="N124" s="117"/>
      <c r="O124" s="117"/>
      <c r="P124" s="117"/>
      <c r="Q124" s="117"/>
      <c r="R124" s="2"/>
      <c r="S124" s="2"/>
    </row>
    <row r="125" ht="87.7" customHeight="1" spans="1:19">
      <c r="A125" s="72">
        <v>460</v>
      </c>
      <c r="B125" s="72" t="s">
        <v>45</v>
      </c>
      <c r="C125" s="73" t="str">
        <f>_xlfn.DISPIMG("ID_5EFD06B43AAB499D9367A958699A2920",1)</f>
        <v>=DISPIMG("ID_5EFD06B43AAB499D9367A958699A2920",1)</v>
      </c>
      <c r="D125" s="72" t="s">
        <v>196</v>
      </c>
      <c r="E125" s="28">
        <v>108</v>
      </c>
      <c r="F125" s="38">
        <v>87</v>
      </c>
      <c r="G125" s="38">
        <v>80</v>
      </c>
      <c r="H125" s="38">
        <v>85</v>
      </c>
      <c r="I125" s="38">
        <v>82</v>
      </c>
      <c r="J125" s="38">
        <v>108</v>
      </c>
      <c r="K125" s="22">
        <v>550</v>
      </c>
      <c r="L125" s="74">
        <v>290</v>
      </c>
      <c r="M125" s="74">
        <v>200</v>
      </c>
      <c r="N125" s="75"/>
      <c r="O125" s="75"/>
      <c r="P125" s="75"/>
      <c r="Q125" s="75"/>
      <c r="R125" s="2"/>
      <c r="S125" s="2"/>
    </row>
    <row r="126" ht="87.7" customHeight="1" spans="1:19">
      <c r="A126" s="127">
        <v>94</v>
      </c>
      <c r="B126" s="127" t="s">
        <v>55</v>
      </c>
      <c r="C126" s="128" t="str">
        <f>_xlfn.DISPIMG("ID_995968A8D6A24B2EBF6D8DB02C77394D",1)</f>
        <v>=DISPIMG("ID_995968A8D6A24B2EBF6D8DB02C77394D",1)</v>
      </c>
      <c r="D126" s="127" t="s">
        <v>135</v>
      </c>
      <c r="E126" s="28">
        <v>106</v>
      </c>
      <c r="F126" s="38">
        <v>88</v>
      </c>
      <c r="G126" s="38">
        <v>91</v>
      </c>
      <c r="H126" s="38">
        <v>86</v>
      </c>
      <c r="I126" s="38">
        <v>92</v>
      </c>
      <c r="J126" s="38">
        <v>85</v>
      </c>
      <c r="K126" s="22">
        <v>548</v>
      </c>
      <c r="L126" s="129">
        <v>312</v>
      </c>
      <c r="M126" s="129">
        <v>220</v>
      </c>
      <c r="N126" s="130"/>
      <c r="O126" s="130"/>
      <c r="P126" s="130"/>
      <c r="Q126" s="130"/>
      <c r="R126" s="2"/>
      <c r="S126" s="2"/>
    </row>
    <row r="127" ht="87.7" customHeight="1" spans="1:19">
      <c r="A127" s="146">
        <v>212</v>
      </c>
      <c r="B127" s="146" t="s">
        <v>125</v>
      </c>
      <c r="C127" s="147" t="str">
        <f>_xlfn.DISPIMG("ID_144F513254BA4111BFE3085F804C3863",1)</f>
        <v>=DISPIMG("ID_144F513254BA4111BFE3085F804C3863",1)</v>
      </c>
      <c r="D127" s="146" t="s">
        <v>168</v>
      </c>
      <c r="E127" s="28">
        <v>80</v>
      </c>
      <c r="F127" s="38">
        <v>88</v>
      </c>
      <c r="G127" s="38">
        <v>100</v>
      </c>
      <c r="H127" s="38">
        <v>94</v>
      </c>
      <c r="I127" s="38">
        <v>87</v>
      </c>
      <c r="J127" s="38">
        <v>99</v>
      </c>
      <c r="K127" s="22">
        <v>548</v>
      </c>
      <c r="L127" s="148">
        <v>301</v>
      </c>
      <c r="M127" s="148">
        <v>210</v>
      </c>
      <c r="N127" s="149"/>
      <c r="O127" s="149"/>
      <c r="P127" s="149"/>
      <c r="Q127" s="149"/>
      <c r="R127" s="2"/>
      <c r="S127" s="2"/>
    </row>
    <row r="128" ht="87.7" customHeight="1" spans="1:19">
      <c r="A128" s="72">
        <v>113</v>
      </c>
      <c r="B128" s="72" t="s">
        <v>45</v>
      </c>
      <c r="C128" s="73" t="str">
        <f>_xlfn.DISPIMG("ID_A49BD71137144AE1B49E65E4B3494180",1)</f>
        <v>=DISPIMG("ID_A49BD71137144AE1B49E65E4B3494180",1)</v>
      </c>
      <c r="D128" s="72" t="s">
        <v>203</v>
      </c>
      <c r="E128" s="28">
        <v>82</v>
      </c>
      <c r="F128" s="38">
        <v>95</v>
      </c>
      <c r="G128" s="38">
        <v>100</v>
      </c>
      <c r="H128" s="38">
        <v>85</v>
      </c>
      <c r="I128" s="38">
        <v>80</v>
      </c>
      <c r="J128" s="38">
        <v>106</v>
      </c>
      <c r="K128" s="22">
        <v>548</v>
      </c>
      <c r="L128" s="74">
        <v>285</v>
      </c>
      <c r="M128" s="74">
        <v>196</v>
      </c>
      <c r="N128" s="75"/>
      <c r="O128" s="75"/>
      <c r="P128" s="75"/>
      <c r="Q128" s="75"/>
      <c r="R128" s="2"/>
      <c r="S128" s="2"/>
    </row>
    <row r="129" ht="87.7" customHeight="1" spans="1:19">
      <c r="A129" s="127">
        <v>160</v>
      </c>
      <c r="B129" s="127" t="s">
        <v>55</v>
      </c>
      <c r="C129" s="128" t="str">
        <f>_xlfn.DISPIMG("ID_CCB9A8DD8EC54A3DBA503A3513809762",1)</f>
        <v>=DISPIMG("ID_CCB9A8DD8EC54A3DBA503A3513809762",1)</v>
      </c>
      <c r="D129" s="127" t="s">
        <v>105</v>
      </c>
      <c r="E129" s="28">
        <v>89</v>
      </c>
      <c r="F129" s="38">
        <v>85</v>
      </c>
      <c r="G129" s="38">
        <v>110</v>
      </c>
      <c r="H129" s="38">
        <v>92</v>
      </c>
      <c r="I129" s="38">
        <v>96</v>
      </c>
      <c r="J129" s="38">
        <v>75</v>
      </c>
      <c r="K129" s="22">
        <v>547</v>
      </c>
      <c r="L129" s="129">
        <v>320</v>
      </c>
      <c r="M129" s="129">
        <v>228</v>
      </c>
      <c r="N129" s="130" t="s">
        <v>21</v>
      </c>
      <c r="O129" s="130"/>
      <c r="P129" s="130"/>
      <c r="Q129" s="130"/>
      <c r="R129" s="2"/>
      <c r="S129" s="2"/>
    </row>
    <row r="130" ht="87.7" customHeight="1" spans="1:19">
      <c r="A130" s="136">
        <v>312</v>
      </c>
      <c r="B130" s="136" t="s">
        <v>86</v>
      </c>
      <c r="C130" s="137" t="str">
        <f>_xlfn.DISPIMG("ID_C4E70F3F8103408CAB25EFB53CF1BD25",1)</f>
        <v>=DISPIMG("ID_C4E70F3F8103408CAB25EFB53CF1BD25",1)</v>
      </c>
      <c r="D130" s="264" t="s">
        <v>136</v>
      </c>
      <c r="E130" s="28">
        <v>88</v>
      </c>
      <c r="F130" s="38">
        <v>78</v>
      </c>
      <c r="G130" s="38">
        <v>118</v>
      </c>
      <c r="H130" s="38">
        <v>80</v>
      </c>
      <c r="I130" s="38">
        <v>92</v>
      </c>
      <c r="J130" s="38">
        <v>91</v>
      </c>
      <c r="K130" s="22">
        <v>547</v>
      </c>
      <c r="L130" s="139">
        <v>312</v>
      </c>
      <c r="M130" s="139">
        <v>220</v>
      </c>
      <c r="N130" s="140"/>
      <c r="O130" s="140"/>
      <c r="P130" s="140"/>
      <c r="Q130" s="140"/>
      <c r="R130" s="2"/>
      <c r="S130" s="2"/>
    </row>
    <row r="131" ht="87.7" customHeight="1" spans="1:19">
      <c r="A131" s="177">
        <v>118</v>
      </c>
      <c r="B131" s="177" t="s">
        <v>55</v>
      </c>
      <c r="C131" s="179" t="str">
        <f>_xlfn.DISPIMG("ID_7EB69BC306C546DC872816EFD698A1FC",1)</f>
        <v>=DISPIMG("ID_7EB69BC306C546DC872816EFD698A1FC",1)</v>
      </c>
      <c r="D131" s="177" t="s">
        <v>109</v>
      </c>
      <c r="E131" s="28">
        <v>106</v>
      </c>
      <c r="F131" s="38">
        <v>82</v>
      </c>
      <c r="G131" s="38">
        <v>94</v>
      </c>
      <c r="H131" s="38">
        <v>83</v>
      </c>
      <c r="I131" s="38">
        <v>95</v>
      </c>
      <c r="J131" s="38">
        <v>86</v>
      </c>
      <c r="K131" s="22">
        <v>546</v>
      </c>
      <c r="L131" s="180">
        <v>318</v>
      </c>
      <c r="M131" s="180">
        <v>226</v>
      </c>
      <c r="N131" s="181" t="s">
        <v>21</v>
      </c>
      <c r="O131" s="181"/>
      <c r="P131" s="181"/>
      <c r="Q131" s="181"/>
      <c r="R131" s="2"/>
      <c r="S131" s="2"/>
    </row>
    <row r="132" ht="87.7" customHeight="1" spans="1:19">
      <c r="A132" s="72">
        <v>104</v>
      </c>
      <c r="B132" s="72" t="s">
        <v>45</v>
      </c>
      <c r="C132" s="73" t="str">
        <f>_xlfn.DISPIMG("ID_0BD32AD052CE43C1BA335F0A2D7592FD",1)</f>
        <v>=DISPIMG("ID_0BD32AD052CE43C1BA335F0A2D7592FD",1)</v>
      </c>
      <c r="D132" s="72" t="s">
        <v>198</v>
      </c>
      <c r="E132" s="28">
        <v>111</v>
      </c>
      <c r="F132" s="38">
        <v>96</v>
      </c>
      <c r="G132" s="38">
        <v>87</v>
      </c>
      <c r="H132" s="38">
        <v>80</v>
      </c>
      <c r="I132" s="38">
        <v>81</v>
      </c>
      <c r="J132" s="38">
        <v>91</v>
      </c>
      <c r="K132" s="22">
        <v>546</v>
      </c>
      <c r="L132" s="74">
        <v>287</v>
      </c>
      <c r="M132" s="74">
        <v>198</v>
      </c>
      <c r="N132" s="75"/>
      <c r="O132" s="75"/>
      <c r="P132" s="75"/>
      <c r="Q132" s="75"/>
      <c r="R132" s="2"/>
      <c r="S132" s="2"/>
    </row>
    <row r="133" ht="87.7" customHeight="1" spans="1:19">
      <c r="A133" s="244">
        <v>61</v>
      </c>
      <c r="B133" s="265" t="s">
        <v>45</v>
      </c>
      <c r="C133" s="245" t="str">
        <f>_xlfn.DISPIMG("ID_0B15863493F24C3B91DF4E9F0A884241",1)</f>
        <v>=DISPIMG("ID_0B15863493F24C3B91DF4E9F0A884241",1)</v>
      </c>
      <c r="D133" s="244" t="s">
        <v>202</v>
      </c>
      <c r="E133" s="28">
        <v>83</v>
      </c>
      <c r="F133" s="38">
        <v>86</v>
      </c>
      <c r="G133" s="38">
        <v>110</v>
      </c>
      <c r="H133" s="38">
        <v>97</v>
      </c>
      <c r="I133" s="38">
        <v>80</v>
      </c>
      <c r="J133" s="38">
        <v>89</v>
      </c>
      <c r="K133" s="22">
        <v>545</v>
      </c>
      <c r="L133" s="246">
        <v>285</v>
      </c>
      <c r="M133" s="246">
        <v>196</v>
      </c>
      <c r="N133" s="247"/>
      <c r="O133" s="247"/>
      <c r="P133" s="247"/>
      <c r="Q133" s="247" t="s">
        <v>21</v>
      </c>
      <c r="R133" s="2"/>
      <c r="S133" s="2"/>
    </row>
    <row r="134" ht="87.7" customHeight="1" spans="1:19">
      <c r="A134" s="16">
        <v>93</v>
      </c>
      <c r="B134" s="16" t="s">
        <v>17</v>
      </c>
      <c r="C134" s="18" t="str">
        <f>_xlfn.DISPIMG("ID_DEA3B9EFC0EB4295A2CCD183DED0846F",1)</f>
        <v>=DISPIMG("ID_DEA3B9EFC0EB4295A2CCD183DED0846F",1)</v>
      </c>
      <c r="D134" s="16" t="s">
        <v>70</v>
      </c>
      <c r="E134" s="28">
        <v>90</v>
      </c>
      <c r="F134" s="38">
        <v>80</v>
      </c>
      <c r="G134" s="38">
        <v>103</v>
      </c>
      <c r="H134" s="38">
        <v>90</v>
      </c>
      <c r="I134" s="38">
        <v>102</v>
      </c>
      <c r="J134" s="38">
        <v>79</v>
      </c>
      <c r="K134" s="22">
        <v>544</v>
      </c>
      <c r="L134" s="23">
        <v>334</v>
      </c>
      <c r="M134" s="23">
        <v>240</v>
      </c>
      <c r="N134" s="24"/>
      <c r="O134" s="24"/>
      <c r="P134" s="24"/>
      <c r="Q134" s="24"/>
      <c r="R134" s="2"/>
      <c r="S134" s="2"/>
    </row>
    <row r="135" ht="87.7" customHeight="1" spans="1:19">
      <c r="A135" s="16">
        <v>455</v>
      </c>
      <c r="B135" s="16" t="s">
        <v>17</v>
      </c>
      <c r="C135" s="18" t="str">
        <f>_xlfn.DISPIMG("ID_ACCAF94CC31F434D8D8B6731E6B2B7F0",1)</f>
        <v>=DISPIMG("ID_ACCAF94CC31F434D8D8B6731E6B2B7F0",1)</v>
      </c>
      <c r="D135" s="16" t="s">
        <v>108</v>
      </c>
      <c r="E135" s="28">
        <v>78</v>
      </c>
      <c r="F135" s="38">
        <v>78</v>
      </c>
      <c r="G135" s="38">
        <v>102</v>
      </c>
      <c r="H135" s="38">
        <v>88</v>
      </c>
      <c r="I135" s="38">
        <v>96</v>
      </c>
      <c r="J135" s="38">
        <v>102</v>
      </c>
      <c r="K135" s="22">
        <v>544</v>
      </c>
      <c r="L135" s="23">
        <v>320</v>
      </c>
      <c r="M135" s="23">
        <v>228</v>
      </c>
      <c r="N135" s="24"/>
      <c r="O135" s="24"/>
      <c r="P135" s="24" t="s">
        <v>21</v>
      </c>
      <c r="Q135" s="24"/>
      <c r="R135" s="2"/>
      <c r="S135" s="2"/>
    </row>
    <row r="136" ht="87.7" customHeight="1" spans="1:19">
      <c r="A136" s="72">
        <v>101</v>
      </c>
      <c r="B136" s="72" t="s">
        <v>45</v>
      </c>
      <c r="C136" s="73" t="str">
        <f>_xlfn.DISPIMG("ID_FB513B231A004D8EBADC1EF4F92A1DDB",1)</f>
        <v>=DISPIMG("ID_FB513B231A004D8EBADC1EF4F92A1DDB",1)</v>
      </c>
      <c r="D136" s="72" t="s">
        <v>152</v>
      </c>
      <c r="E136" s="28">
        <v>101</v>
      </c>
      <c r="F136" s="38">
        <v>93</v>
      </c>
      <c r="G136" s="38">
        <v>90</v>
      </c>
      <c r="H136" s="38">
        <v>82</v>
      </c>
      <c r="I136" s="38">
        <v>90</v>
      </c>
      <c r="J136" s="38">
        <v>88</v>
      </c>
      <c r="K136" s="22">
        <v>544</v>
      </c>
      <c r="L136" s="74">
        <v>307</v>
      </c>
      <c r="M136" s="74">
        <v>216</v>
      </c>
      <c r="N136" s="75" t="s">
        <v>21</v>
      </c>
      <c r="O136" s="75"/>
      <c r="P136" s="75"/>
      <c r="Q136" s="75"/>
      <c r="R136" s="2"/>
      <c r="S136" s="2"/>
    </row>
    <row r="137" ht="87.7" customHeight="1" spans="1:19">
      <c r="A137" s="72">
        <v>82</v>
      </c>
      <c r="B137" s="266" t="s">
        <v>45</v>
      </c>
      <c r="C137" s="73" t="str">
        <f>_xlfn.DISPIMG("ID_CF629DB276FB48C8B5A013733A77474D",1)</f>
        <v>=DISPIMG("ID_CF629DB276FB48C8B5A013733A77474D",1)</v>
      </c>
      <c r="D137" s="72" t="s">
        <v>140</v>
      </c>
      <c r="E137" s="28">
        <v>100</v>
      </c>
      <c r="F137" s="38">
        <v>82</v>
      </c>
      <c r="G137" s="38">
        <v>106</v>
      </c>
      <c r="H137" s="38">
        <v>80</v>
      </c>
      <c r="I137" s="38">
        <v>91</v>
      </c>
      <c r="J137" s="38">
        <v>84</v>
      </c>
      <c r="K137" s="22">
        <v>543</v>
      </c>
      <c r="L137" s="74">
        <v>309</v>
      </c>
      <c r="M137" s="74">
        <v>218</v>
      </c>
      <c r="N137" s="75" t="s">
        <v>21</v>
      </c>
      <c r="O137" s="75"/>
      <c r="P137" s="75"/>
      <c r="Q137" s="75"/>
      <c r="R137" s="2"/>
      <c r="S137" s="2"/>
    </row>
    <row r="138" ht="87.7" customHeight="1" spans="1:19">
      <c r="A138" s="109">
        <v>327</v>
      </c>
      <c r="B138" s="109" t="s">
        <v>71</v>
      </c>
      <c r="C138" s="110" t="str">
        <f>_xlfn.DISPIMG("ID_3B3BD1C9FB7646EE9D71F5E1252034ED",1)</f>
        <v>=DISPIMG("ID_3B3BD1C9FB7646EE9D71F5E1252034ED",1)</v>
      </c>
      <c r="D138" s="267" t="s">
        <v>243</v>
      </c>
      <c r="E138" s="28">
        <v>80</v>
      </c>
      <c r="F138" s="38">
        <v>86</v>
      </c>
      <c r="G138" s="38">
        <v>110</v>
      </c>
      <c r="H138" s="38">
        <v>81</v>
      </c>
      <c r="I138" s="38">
        <v>85</v>
      </c>
      <c r="J138" s="38">
        <v>101</v>
      </c>
      <c r="K138" s="22">
        <v>543</v>
      </c>
      <c r="L138" s="111">
        <v>296</v>
      </c>
      <c r="M138" s="111">
        <v>206</v>
      </c>
      <c r="N138" s="112"/>
      <c r="O138" s="112"/>
      <c r="P138" s="112"/>
      <c r="Q138" s="112"/>
      <c r="R138" s="2"/>
      <c r="S138" s="2"/>
    </row>
    <row r="139" ht="87.7" customHeight="1" spans="1:19">
      <c r="A139" s="244">
        <v>73</v>
      </c>
      <c r="B139" s="265" t="s">
        <v>45</v>
      </c>
      <c r="C139" s="245" t="str">
        <f>_xlfn.DISPIMG("ID_99948ECB8DB346D09F370EC46AD1DADB",1)</f>
        <v>=DISPIMG("ID_99948ECB8DB346D09F370EC46AD1DADB",1)</v>
      </c>
      <c r="D139" s="265" t="s">
        <v>197</v>
      </c>
      <c r="E139" s="28">
        <v>108</v>
      </c>
      <c r="F139" s="38">
        <v>95</v>
      </c>
      <c r="G139" s="38">
        <v>85</v>
      </c>
      <c r="H139" s="38">
        <v>84</v>
      </c>
      <c r="I139" s="38">
        <v>81</v>
      </c>
      <c r="J139" s="38">
        <v>90</v>
      </c>
      <c r="K139" s="22">
        <v>543</v>
      </c>
      <c r="L139" s="246">
        <v>287</v>
      </c>
      <c r="M139" s="246">
        <v>198</v>
      </c>
      <c r="N139" s="247"/>
      <c r="O139" s="247"/>
      <c r="P139" s="247"/>
      <c r="Q139" s="247" t="s">
        <v>21</v>
      </c>
      <c r="R139" s="2"/>
      <c r="S139" s="2"/>
    </row>
    <row r="140" ht="87.7" customHeight="1" spans="1:19">
      <c r="A140" s="16">
        <v>147</v>
      </c>
      <c r="B140" s="17" t="s">
        <v>17</v>
      </c>
      <c r="C140" s="18" t="str">
        <f>_xlfn.DISPIMG("ID_10D43E459F6E414D8E83A726214C7B60",1)</f>
        <v>=DISPIMG("ID_10D43E459F6E414D8E83A726214C7B60",1)</v>
      </c>
      <c r="D140" s="16" t="s">
        <v>111</v>
      </c>
      <c r="E140" s="28">
        <v>110</v>
      </c>
      <c r="F140" s="38">
        <v>90</v>
      </c>
      <c r="G140" s="38">
        <v>80</v>
      </c>
      <c r="H140" s="38">
        <v>78</v>
      </c>
      <c r="I140" s="38">
        <v>95</v>
      </c>
      <c r="J140" s="38">
        <v>89</v>
      </c>
      <c r="K140" s="22">
        <v>542</v>
      </c>
      <c r="L140" s="23">
        <v>318</v>
      </c>
      <c r="M140" s="23">
        <v>226</v>
      </c>
      <c r="N140" s="24" t="s">
        <v>21</v>
      </c>
      <c r="O140" s="24"/>
      <c r="P140" s="24"/>
      <c r="Q140" s="24"/>
      <c r="R140" s="2"/>
      <c r="S140" s="2"/>
    </row>
    <row r="141" ht="87.7" customHeight="1" spans="1:19">
      <c r="A141" s="268">
        <v>76</v>
      </c>
      <c r="B141" s="269" t="s">
        <v>38</v>
      </c>
      <c r="C141" s="270" t="str">
        <f>_xlfn.DISPIMG("ID_839AA8D8C7504440B96D7513A8A6416B",1)</f>
        <v>=DISPIMG("ID_839AA8D8C7504440B96D7513A8A6416B",1)</v>
      </c>
      <c r="D141" s="269" t="s">
        <v>176</v>
      </c>
      <c r="E141" s="28">
        <v>110</v>
      </c>
      <c r="F141" s="38">
        <v>82</v>
      </c>
      <c r="G141" s="38">
        <v>98</v>
      </c>
      <c r="H141" s="38">
        <v>85</v>
      </c>
      <c r="I141" s="38">
        <v>85</v>
      </c>
      <c r="J141" s="38">
        <v>81</v>
      </c>
      <c r="K141" s="22">
        <v>541</v>
      </c>
      <c r="L141" s="271">
        <v>296</v>
      </c>
      <c r="M141" s="271">
        <v>206</v>
      </c>
      <c r="N141" s="272" t="s">
        <v>21</v>
      </c>
      <c r="O141" s="272"/>
      <c r="P141" s="272"/>
      <c r="Q141" s="272"/>
      <c r="R141" s="2"/>
      <c r="S141" s="2"/>
    </row>
    <row r="142" ht="87.7" customHeight="1" spans="1:19">
      <c r="A142" s="273">
        <v>42</v>
      </c>
      <c r="B142" s="274" t="s">
        <v>28</v>
      </c>
      <c r="C142" s="275" t="str">
        <f>_xlfn.DISPIMG("ID_410FC95A3A784CBFADD2703CB5309A57",1)</f>
        <v>=DISPIMG("ID_410FC95A3A784CBFADD2703CB5309A57",1)</v>
      </c>
      <c r="D142" s="274" t="s">
        <v>82</v>
      </c>
      <c r="E142" s="28">
        <v>81</v>
      </c>
      <c r="F142" s="38">
        <v>75</v>
      </c>
      <c r="G142" s="38">
        <v>111</v>
      </c>
      <c r="H142" s="38">
        <v>100</v>
      </c>
      <c r="I142" s="38">
        <v>100</v>
      </c>
      <c r="J142" s="38">
        <v>73</v>
      </c>
      <c r="K142" s="22">
        <v>540</v>
      </c>
      <c r="L142" s="276">
        <v>329</v>
      </c>
      <c r="M142" s="276">
        <v>236</v>
      </c>
      <c r="N142" s="277"/>
      <c r="O142" s="277"/>
      <c r="P142" s="277"/>
      <c r="Q142" s="277"/>
      <c r="R142" s="2"/>
      <c r="S142" s="2"/>
    </row>
    <row r="143" ht="87.7" customHeight="1" spans="1:19">
      <c r="A143" s="173">
        <v>92</v>
      </c>
      <c r="B143" s="173" t="s">
        <v>34</v>
      </c>
      <c r="C143" s="174" t="str">
        <f>_xlfn.DISPIMG("ID_79D4C40807034CB59ADA61A6589FCCE4",1)</f>
        <v>=DISPIMG("ID_79D4C40807034CB59ADA61A6589FCCE4",1)</v>
      </c>
      <c r="D143" s="173" t="s">
        <v>98</v>
      </c>
      <c r="E143" s="28">
        <v>107</v>
      </c>
      <c r="F143" s="38">
        <v>81</v>
      </c>
      <c r="G143" s="38">
        <v>90</v>
      </c>
      <c r="H143" s="38">
        <v>82</v>
      </c>
      <c r="I143" s="38">
        <v>98</v>
      </c>
      <c r="J143" s="38">
        <v>82</v>
      </c>
      <c r="K143" s="22">
        <v>540</v>
      </c>
      <c r="L143" s="175">
        <v>325</v>
      </c>
      <c r="M143" s="175">
        <v>232</v>
      </c>
      <c r="N143" s="176"/>
      <c r="O143" s="176"/>
      <c r="P143" s="176"/>
      <c r="Q143" s="176"/>
      <c r="R143" s="2"/>
      <c r="S143" s="2"/>
    </row>
    <row r="144" ht="87.7" customHeight="1" spans="1:19">
      <c r="A144" s="278">
        <v>483</v>
      </c>
      <c r="B144" s="278" t="s">
        <v>115</v>
      </c>
      <c r="C144" s="279" t="str">
        <f>_xlfn.DISPIMG("ID_870FDFF25EBA4D6B81D794B0B529F2A8",1)</f>
        <v>=DISPIMG("ID_870FDFF25EBA4D6B81D794B0B529F2A8",1)</v>
      </c>
      <c r="D144" s="278" t="s">
        <v>175</v>
      </c>
      <c r="E144" s="28">
        <v>101</v>
      </c>
      <c r="F144" s="38">
        <v>85</v>
      </c>
      <c r="G144" s="38">
        <v>70</v>
      </c>
      <c r="H144" s="38">
        <v>78</v>
      </c>
      <c r="I144" s="38">
        <v>86</v>
      </c>
      <c r="J144" s="38">
        <v>120</v>
      </c>
      <c r="K144" s="22">
        <v>540</v>
      </c>
      <c r="L144" s="280">
        <v>298</v>
      </c>
      <c r="M144" s="280">
        <v>208</v>
      </c>
      <c r="N144" s="281"/>
      <c r="O144" s="281"/>
      <c r="P144" s="281"/>
      <c r="Q144" s="281"/>
      <c r="R144" s="2"/>
      <c r="S144" s="2"/>
    </row>
    <row r="145" ht="87.7" customHeight="1" spans="1:19">
      <c r="A145" s="282">
        <v>107</v>
      </c>
      <c r="B145" s="282" t="s">
        <v>115</v>
      </c>
      <c r="C145" s="283" t="str">
        <f>_xlfn.DISPIMG("ID_987F969B76DA4ED4896F6D186F709836",1)</f>
        <v>=DISPIMG("ID_987F969B76DA4ED4896F6D186F709836",1)</v>
      </c>
      <c r="D145" s="282" t="s">
        <v>218</v>
      </c>
      <c r="E145" s="28">
        <v>88</v>
      </c>
      <c r="F145" s="38">
        <v>81</v>
      </c>
      <c r="G145" s="38">
        <v>99</v>
      </c>
      <c r="H145" s="38">
        <v>83</v>
      </c>
      <c r="I145" s="38">
        <v>73</v>
      </c>
      <c r="J145" s="38">
        <v>116</v>
      </c>
      <c r="K145" s="22">
        <v>540</v>
      </c>
      <c r="L145" s="284">
        <v>270</v>
      </c>
      <c r="M145" s="284">
        <v>182</v>
      </c>
      <c r="N145" s="285" t="s">
        <v>21</v>
      </c>
      <c r="O145" s="285"/>
      <c r="P145" s="285"/>
      <c r="Q145" s="285"/>
      <c r="R145" s="2"/>
      <c r="S145" s="2"/>
    </row>
    <row r="146" ht="87.7" customHeight="1" spans="1:19">
      <c r="A146" s="118">
        <v>204</v>
      </c>
      <c r="B146" s="118" t="s">
        <v>115</v>
      </c>
      <c r="C146" s="119" t="str">
        <f>_xlfn.DISPIMG("ID_38B190E460FB41D2827CB74446DC7EC4",1)</f>
        <v>=DISPIMG("ID_38B190E460FB41D2827CB74446DC7EC4",1)</v>
      </c>
      <c r="D146" s="118" t="s">
        <v>225</v>
      </c>
      <c r="E146" s="28">
        <v>94</v>
      </c>
      <c r="F146" s="38">
        <v>100</v>
      </c>
      <c r="G146" s="38">
        <v>81</v>
      </c>
      <c r="H146" s="38">
        <v>90</v>
      </c>
      <c r="I146" s="38">
        <v>70</v>
      </c>
      <c r="J146" s="38">
        <v>105</v>
      </c>
      <c r="K146" s="22">
        <v>540</v>
      </c>
      <c r="L146" s="120">
        <v>263</v>
      </c>
      <c r="M146" s="120">
        <v>176</v>
      </c>
      <c r="N146" s="121"/>
      <c r="O146" s="121"/>
      <c r="P146" s="121" t="s">
        <v>21</v>
      </c>
      <c r="Q146" s="121"/>
      <c r="R146" s="2"/>
      <c r="S146" s="2"/>
    </row>
    <row r="147" ht="87.7" customHeight="1" spans="1:19">
      <c r="A147" s="164">
        <v>286</v>
      </c>
      <c r="B147" s="164" t="s">
        <v>17</v>
      </c>
      <c r="C147" s="165" t="str">
        <f>_xlfn.DISPIMG("ID_E44D9DDD7C2E4CEF944C63E0FB385B27",1)</f>
        <v>=DISPIMG("ID_E44D9DDD7C2E4CEF944C63E0FB385B27",1)</v>
      </c>
      <c r="D147" s="164" t="s">
        <v>233</v>
      </c>
      <c r="E147" s="28">
        <v>80</v>
      </c>
      <c r="F147" s="38">
        <v>80</v>
      </c>
      <c r="G147" s="38">
        <v>120</v>
      </c>
      <c r="H147" s="38">
        <v>95</v>
      </c>
      <c r="I147" s="38">
        <v>60</v>
      </c>
      <c r="J147" s="38">
        <v>105</v>
      </c>
      <c r="K147" s="22">
        <v>540</v>
      </c>
      <c r="L147" s="167">
        <v>241</v>
      </c>
      <c r="M147" s="167">
        <v>156</v>
      </c>
      <c r="N147" s="168"/>
      <c r="O147" s="168"/>
      <c r="P147" s="168"/>
      <c r="Q147" s="168" t="s">
        <v>21</v>
      </c>
      <c r="R147" s="2"/>
      <c r="S147" s="2"/>
    </row>
    <row r="148" ht="87.7" customHeight="1" spans="1:19">
      <c r="A148" s="127">
        <v>192</v>
      </c>
      <c r="B148" s="127" t="s">
        <v>55</v>
      </c>
      <c r="C148" s="128" t="str">
        <f>_xlfn.DISPIMG("ID_58E3D997BF9B457FA5EAB140F41F06BB",1)</f>
        <v>=DISPIMG("ID_58E3D997BF9B457FA5EAB140F41F06BB",1)</v>
      </c>
      <c r="D148" s="127" t="s">
        <v>113</v>
      </c>
      <c r="E148" s="28">
        <v>110</v>
      </c>
      <c r="F148" s="38">
        <v>86</v>
      </c>
      <c r="G148" s="38">
        <v>87</v>
      </c>
      <c r="H148" s="38">
        <v>78</v>
      </c>
      <c r="I148" s="38">
        <v>95</v>
      </c>
      <c r="J148" s="38">
        <v>83</v>
      </c>
      <c r="K148" s="22">
        <v>539</v>
      </c>
      <c r="L148" s="129">
        <v>318</v>
      </c>
      <c r="M148" s="129">
        <v>226</v>
      </c>
      <c r="N148" s="130"/>
      <c r="O148" s="130"/>
      <c r="P148" s="130"/>
      <c r="Q148" s="130"/>
      <c r="R148" s="2"/>
      <c r="S148" s="2"/>
    </row>
    <row r="149" ht="87.7" customHeight="1" spans="1:19">
      <c r="A149" s="80">
        <v>149</v>
      </c>
      <c r="B149" s="80" t="s">
        <v>52</v>
      </c>
      <c r="C149" s="81" t="str">
        <f>_xlfn.DISPIMG("ID_CD11BE2B234944BC8F0F7DB8ACF4FE3C",1)</f>
        <v>=DISPIMG("ID_CD11BE2B234944BC8F0F7DB8ACF4FE3C",1)</v>
      </c>
      <c r="D149" s="80" t="s">
        <v>130</v>
      </c>
      <c r="E149" s="28">
        <v>113</v>
      </c>
      <c r="F149" s="38">
        <v>80</v>
      </c>
      <c r="G149" s="38">
        <v>79</v>
      </c>
      <c r="H149" s="38">
        <v>82</v>
      </c>
      <c r="I149" s="38">
        <v>93</v>
      </c>
      <c r="J149" s="38">
        <v>91</v>
      </c>
      <c r="K149" s="22">
        <v>538</v>
      </c>
      <c r="L149" s="83">
        <v>314</v>
      </c>
      <c r="M149" s="83">
        <v>222</v>
      </c>
      <c r="N149" s="84" t="s">
        <v>21</v>
      </c>
      <c r="O149" s="84"/>
      <c r="P149" s="84"/>
      <c r="Q149" s="84"/>
      <c r="R149" s="2"/>
      <c r="S149" s="2"/>
    </row>
    <row r="150" ht="87.7" customHeight="1" spans="1:19">
      <c r="A150" s="80">
        <v>142</v>
      </c>
      <c r="B150" s="80" t="s">
        <v>52</v>
      </c>
      <c r="C150" s="81" t="str">
        <f>_xlfn.DISPIMG("ID_805379393CAE442B9343EDBB9A7084B9",1)</f>
        <v>=DISPIMG("ID_805379393CAE442B9343EDBB9A7084B9",1)</v>
      </c>
      <c r="D150" s="80" t="s">
        <v>110</v>
      </c>
      <c r="E150" s="28">
        <v>110</v>
      </c>
      <c r="F150" s="38">
        <v>85</v>
      </c>
      <c r="G150" s="38">
        <v>81</v>
      </c>
      <c r="H150" s="38">
        <v>75</v>
      </c>
      <c r="I150" s="38">
        <v>95</v>
      </c>
      <c r="J150" s="38">
        <v>89</v>
      </c>
      <c r="K150" s="22">
        <v>535</v>
      </c>
      <c r="L150" s="83">
        <v>318</v>
      </c>
      <c r="M150" s="83">
        <v>226</v>
      </c>
      <c r="N150" s="84" t="s">
        <v>21</v>
      </c>
      <c r="O150" s="84"/>
      <c r="P150" s="84"/>
      <c r="Q150" s="84"/>
      <c r="R150" s="2"/>
      <c r="S150" s="2"/>
    </row>
    <row r="151" ht="87.7" customHeight="1" spans="1:19">
      <c r="A151" s="286">
        <v>197</v>
      </c>
      <c r="B151" s="286" t="s">
        <v>86</v>
      </c>
      <c r="C151" s="287" t="str">
        <f>_xlfn.DISPIMG("ID_E9475E3C6483453A8699B0369202199E",1)</f>
        <v>=DISPIMG("ID_E9475E3C6483453A8699B0369202199E",1)</v>
      </c>
      <c r="D151" s="286" t="s">
        <v>141</v>
      </c>
      <c r="E151" s="28">
        <v>93</v>
      </c>
      <c r="F151" s="38">
        <v>72</v>
      </c>
      <c r="G151" s="38">
        <v>108</v>
      </c>
      <c r="H151" s="38">
        <v>79</v>
      </c>
      <c r="I151" s="38">
        <v>91</v>
      </c>
      <c r="J151" s="38">
        <v>92</v>
      </c>
      <c r="K151" s="22">
        <v>535</v>
      </c>
      <c r="L151" s="288">
        <v>309</v>
      </c>
      <c r="M151" s="288">
        <v>218</v>
      </c>
      <c r="N151" s="289"/>
      <c r="O151" s="289"/>
      <c r="P151" s="289"/>
      <c r="Q151" s="289"/>
      <c r="R151" s="2"/>
      <c r="S151" s="2"/>
    </row>
    <row r="152" ht="87.7" customHeight="1" spans="1:19">
      <c r="A152" s="109">
        <v>121</v>
      </c>
      <c r="B152" s="109" t="s">
        <v>71</v>
      </c>
      <c r="C152" s="110" t="str">
        <f>_xlfn.DISPIMG("ID_8EEC42F1A197491CA2A7BA2E82440BC3",1)</f>
        <v>=DISPIMG("ID_8EEC42F1A197491CA2A7BA2E82440BC3",1)</v>
      </c>
      <c r="D152" s="109" t="s">
        <v>191</v>
      </c>
      <c r="E152" s="28">
        <v>103</v>
      </c>
      <c r="F152" s="38">
        <v>84</v>
      </c>
      <c r="G152" s="38">
        <v>97</v>
      </c>
      <c r="H152" s="38">
        <v>82</v>
      </c>
      <c r="I152" s="38">
        <v>83</v>
      </c>
      <c r="J152" s="38">
        <v>85</v>
      </c>
      <c r="K152" s="22">
        <v>534</v>
      </c>
      <c r="L152" s="111">
        <v>292</v>
      </c>
      <c r="M152" s="111">
        <v>202</v>
      </c>
      <c r="N152" s="112"/>
      <c r="O152" s="112"/>
      <c r="P152" s="112"/>
      <c r="Q152" s="112"/>
      <c r="R152" s="2"/>
      <c r="S152" s="2"/>
    </row>
    <row r="153" ht="87.7" customHeight="1" spans="1:19">
      <c r="A153" s="219">
        <v>169</v>
      </c>
      <c r="B153" s="219" t="s">
        <v>125</v>
      </c>
      <c r="C153" s="290" t="str">
        <f>_xlfn.DISPIMG("ID_83401E4363414A619FB6167956636ADF",1)</f>
        <v>=DISPIMG("ID_83401E4363414A619FB6167956636ADF",1)</v>
      </c>
      <c r="D153" s="219" t="s">
        <v>204</v>
      </c>
      <c r="E153" s="28">
        <v>100</v>
      </c>
      <c r="F153" s="38">
        <v>100</v>
      </c>
      <c r="G153" s="38">
        <v>84</v>
      </c>
      <c r="H153" s="38">
        <v>84</v>
      </c>
      <c r="I153" s="38">
        <v>80</v>
      </c>
      <c r="J153" s="38">
        <v>85</v>
      </c>
      <c r="K153" s="22">
        <v>533</v>
      </c>
      <c r="L153" s="148">
        <v>285</v>
      </c>
      <c r="M153" s="148">
        <v>196</v>
      </c>
      <c r="N153" s="149"/>
      <c r="O153" s="149"/>
      <c r="P153" s="149"/>
      <c r="Q153" s="149"/>
      <c r="R153" s="2"/>
      <c r="S153" s="2"/>
    </row>
    <row r="154" ht="87.7" customHeight="1" spans="1:19">
      <c r="A154" s="60">
        <v>115</v>
      </c>
      <c r="B154" s="60" t="s">
        <v>125</v>
      </c>
      <c r="C154" s="61" t="str">
        <f>_xlfn.DISPIMG("ID_991374753B43418D934F374429CF13B4",1)</f>
        <v>=DISPIMG("ID_991374753B43418D934F374429CF13B4",1)</v>
      </c>
      <c r="D154" s="60" t="s">
        <v>235</v>
      </c>
      <c r="E154" s="28">
        <v>85</v>
      </c>
      <c r="F154" s="38">
        <v>89</v>
      </c>
      <c r="G154" s="38">
        <v>112</v>
      </c>
      <c r="H154" s="38">
        <v>92</v>
      </c>
      <c r="I154" s="38">
        <v>55</v>
      </c>
      <c r="J154" s="38">
        <v>100</v>
      </c>
      <c r="K154" s="22">
        <v>533</v>
      </c>
      <c r="L154" s="62">
        <v>230</v>
      </c>
      <c r="M154" s="62">
        <v>146</v>
      </c>
      <c r="N154" s="63"/>
      <c r="O154" s="63"/>
      <c r="P154" s="63"/>
      <c r="Q154" s="63"/>
      <c r="R154" s="2"/>
      <c r="S154" s="2"/>
    </row>
    <row r="155" ht="87.7" customHeight="1" spans="1:19">
      <c r="A155" s="291">
        <v>70</v>
      </c>
      <c r="B155" s="292" t="s">
        <v>17</v>
      </c>
      <c r="C155" s="293" t="str">
        <f>_xlfn.DISPIMG("ID_5A419892C8944A62A710CBA028673969",1)</f>
        <v>=DISPIMG("ID_5A419892C8944A62A710CBA028673969",1)</v>
      </c>
      <c r="D155" s="292" t="s">
        <v>48</v>
      </c>
      <c r="E155" s="28">
        <v>108</v>
      </c>
      <c r="F155" s="38">
        <v>70</v>
      </c>
      <c r="G155" s="38">
        <v>101</v>
      </c>
      <c r="H155" s="38">
        <v>77</v>
      </c>
      <c r="I155" s="38">
        <v>105</v>
      </c>
      <c r="J155" s="38">
        <v>71</v>
      </c>
      <c r="K155" s="22">
        <v>532</v>
      </c>
      <c r="L155" s="294">
        <v>340</v>
      </c>
      <c r="M155" s="294">
        <v>246</v>
      </c>
      <c r="N155" s="295"/>
      <c r="O155" s="295"/>
      <c r="P155" s="295" t="s">
        <v>21</v>
      </c>
      <c r="Q155" s="295"/>
      <c r="R155" s="2"/>
      <c r="S155" s="2"/>
    </row>
    <row r="156" ht="87.7" customHeight="1" spans="1:19">
      <c r="A156" s="214">
        <v>329</v>
      </c>
      <c r="B156" s="214" t="s">
        <v>71</v>
      </c>
      <c r="C156" s="215" t="str">
        <f>_xlfn.DISPIMG("ID_92DDDC72502143B9A9A7751C15247977",1)</f>
        <v>=DISPIMG("ID_92DDDC72502143B9A9A7751C15247977",1)</v>
      </c>
      <c r="D156" s="214" t="s">
        <v>117</v>
      </c>
      <c r="E156" s="28">
        <v>72</v>
      </c>
      <c r="F156" s="38">
        <v>71</v>
      </c>
      <c r="G156" s="38">
        <v>95</v>
      </c>
      <c r="H156" s="38">
        <v>104</v>
      </c>
      <c r="I156" s="38">
        <v>95</v>
      </c>
      <c r="J156" s="38">
        <v>95</v>
      </c>
      <c r="K156" s="22">
        <v>532</v>
      </c>
      <c r="L156" s="216">
        <v>318</v>
      </c>
      <c r="M156" s="216">
        <v>226</v>
      </c>
      <c r="N156" s="217" t="s">
        <v>21</v>
      </c>
      <c r="O156" s="217"/>
      <c r="P156" s="217" t="s">
        <v>21</v>
      </c>
      <c r="Q156" s="217"/>
      <c r="R156" s="2"/>
      <c r="S156" s="2"/>
    </row>
    <row r="157" ht="87.7" customHeight="1" spans="1:19">
      <c r="A157" s="296">
        <v>32</v>
      </c>
      <c r="B157" s="297" t="s">
        <v>38</v>
      </c>
      <c r="C157" s="298" t="str">
        <f>_xlfn.DISPIMG("ID_BB3E73CEBF4445E09A8DE6BEC94F9487",1)</f>
        <v>=DISPIMG("ID_BB3E73CEBF4445E09A8DE6BEC94F9487",1)</v>
      </c>
      <c r="D157" s="297" t="s">
        <v>210</v>
      </c>
      <c r="E157" s="28">
        <v>83</v>
      </c>
      <c r="F157" s="38">
        <v>100</v>
      </c>
      <c r="G157" s="38">
        <v>85</v>
      </c>
      <c r="H157" s="38">
        <v>105</v>
      </c>
      <c r="I157" s="38">
        <v>78</v>
      </c>
      <c r="J157" s="38">
        <v>79</v>
      </c>
      <c r="K157" s="22">
        <v>530</v>
      </c>
      <c r="L157" s="299">
        <v>281</v>
      </c>
      <c r="M157" s="299">
        <v>192</v>
      </c>
      <c r="N157" s="300"/>
      <c r="O157" s="300"/>
      <c r="P157" s="300"/>
      <c r="Q157" s="300"/>
      <c r="R157" s="2"/>
      <c r="S157" s="2"/>
    </row>
    <row r="158" ht="87.7" customHeight="1" spans="1:19">
      <c r="A158" s="173">
        <v>69</v>
      </c>
      <c r="B158" s="301" t="s">
        <v>34</v>
      </c>
      <c r="C158" s="174" t="str">
        <f>_xlfn.DISPIMG("ID_4CD6937D7868401F859E9F5FB8977C56",1)</f>
        <v>=DISPIMG("ID_4CD6937D7868401F859E9F5FB8977C56",1)</v>
      </c>
      <c r="D158" s="173" t="s">
        <v>47</v>
      </c>
      <c r="E158" s="28">
        <v>90</v>
      </c>
      <c r="F158" s="38">
        <v>75</v>
      </c>
      <c r="G158" s="38">
        <v>100</v>
      </c>
      <c r="H158" s="38">
        <v>78</v>
      </c>
      <c r="I158" s="38">
        <v>105</v>
      </c>
      <c r="J158" s="38">
        <v>80</v>
      </c>
      <c r="K158" s="22">
        <v>528</v>
      </c>
      <c r="L158" s="175">
        <v>340</v>
      </c>
      <c r="M158" s="175">
        <v>246</v>
      </c>
      <c r="N158" s="176"/>
      <c r="O158" s="176" t="s">
        <v>21</v>
      </c>
      <c r="P158" s="176"/>
      <c r="Q158" s="176"/>
      <c r="R158" s="2"/>
      <c r="S158" s="2"/>
    </row>
    <row r="159" ht="87.7" customHeight="1" spans="1:19">
      <c r="A159" s="278">
        <v>88</v>
      </c>
      <c r="B159" s="302" t="s">
        <v>115</v>
      </c>
      <c r="C159" s="279" t="str">
        <f>_xlfn.DISPIMG("ID_A432848293A04D2B818E697E3B8B5E17",1)</f>
        <v>=DISPIMG("ID_A432848293A04D2B818E697E3B8B5E17",1)</v>
      </c>
      <c r="D159" s="302" t="s">
        <v>234</v>
      </c>
      <c r="E159" s="28">
        <v>83</v>
      </c>
      <c r="F159" s="38">
        <v>102</v>
      </c>
      <c r="G159" s="38">
        <v>75</v>
      </c>
      <c r="H159" s="38">
        <v>100</v>
      </c>
      <c r="I159" s="38">
        <v>58</v>
      </c>
      <c r="J159" s="38">
        <v>110</v>
      </c>
      <c r="K159" s="22">
        <v>528</v>
      </c>
      <c r="L159" s="280">
        <v>237</v>
      </c>
      <c r="M159" s="280">
        <v>152</v>
      </c>
      <c r="N159" s="281"/>
      <c r="O159" s="281"/>
      <c r="P159" s="281" t="s">
        <v>21</v>
      </c>
      <c r="Q159" s="281"/>
      <c r="R159" s="2"/>
      <c r="S159" s="2"/>
    </row>
    <row r="160" ht="87.7" customHeight="1" spans="1:19">
      <c r="A160" s="136">
        <v>140</v>
      </c>
      <c r="B160" s="136" t="s">
        <v>86</v>
      </c>
      <c r="C160" s="137" t="str">
        <f>_xlfn.DISPIMG("ID_4926D14734C34A489454D9FCAC661F10",1)</f>
        <v>=DISPIMG("ID_4926D14734C34A489454D9FCAC661F10",1)</v>
      </c>
      <c r="D160" s="136" t="s">
        <v>178</v>
      </c>
      <c r="E160" s="28">
        <v>95</v>
      </c>
      <c r="F160" s="38">
        <v>77</v>
      </c>
      <c r="G160" s="38">
        <v>110</v>
      </c>
      <c r="H160" s="38">
        <v>76</v>
      </c>
      <c r="I160" s="38">
        <v>85</v>
      </c>
      <c r="J160" s="38">
        <v>82</v>
      </c>
      <c r="K160" s="22">
        <v>525</v>
      </c>
      <c r="L160" s="139">
        <v>296</v>
      </c>
      <c r="M160" s="139">
        <v>206</v>
      </c>
      <c r="N160" s="140"/>
      <c r="O160" s="140"/>
      <c r="P160" s="140"/>
      <c r="Q160" s="140"/>
      <c r="R160" s="2"/>
      <c r="S160" s="2"/>
    </row>
    <row r="161" ht="87.7" customHeight="1" spans="1:19">
      <c r="A161" s="60">
        <v>18</v>
      </c>
      <c r="B161" s="303" t="s">
        <v>125</v>
      </c>
      <c r="C161" s="61" t="str">
        <f>_xlfn.DISPIMG("ID_986C67DC5112412EAA3746DDB97CB76F",1)</f>
        <v>=DISPIMG("ID_986C67DC5112412EAA3746DDB97CB76F",1)</v>
      </c>
      <c r="D161" s="60" t="s">
        <v>201</v>
      </c>
      <c r="E161" s="304">
        <v>82</v>
      </c>
      <c r="F161" s="305">
        <v>83</v>
      </c>
      <c r="G161" s="305">
        <v>100</v>
      </c>
      <c r="H161" s="305">
        <v>100</v>
      </c>
      <c r="I161" s="305">
        <v>80</v>
      </c>
      <c r="J161" s="305">
        <v>80</v>
      </c>
      <c r="K161" s="306">
        <v>525</v>
      </c>
      <c r="L161" s="62">
        <v>285</v>
      </c>
      <c r="M161" s="62">
        <v>196</v>
      </c>
      <c r="N161" s="63"/>
      <c r="O161" s="63"/>
      <c r="P161" s="63"/>
      <c r="Q161" s="63"/>
      <c r="R161" s="2"/>
      <c r="S161" s="2"/>
    </row>
    <row r="162" ht="87.7" customHeight="1" spans="1:19">
      <c r="A162" s="307">
        <v>207</v>
      </c>
      <c r="B162" s="307" t="s">
        <v>71</v>
      </c>
      <c r="C162" s="308" t="str">
        <f>_xlfn.DISPIMG("ID_3130C77D964746AE994D1506EE1E504A",1)</f>
        <v>=DISPIMG("ID_3130C77D964746AE994D1506EE1E504A",1)</v>
      </c>
      <c r="D162" s="307" t="s">
        <v>167</v>
      </c>
      <c r="E162" s="28">
        <v>81</v>
      </c>
      <c r="F162" s="38">
        <v>83</v>
      </c>
      <c r="G162" s="38">
        <v>106</v>
      </c>
      <c r="H162" s="38">
        <v>82</v>
      </c>
      <c r="I162" s="38">
        <v>87</v>
      </c>
      <c r="J162" s="38">
        <v>85</v>
      </c>
      <c r="K162" s="22">
        <v>524</v>
      </c>
      <c r="L162" s="309">
        <v>301</v>
      </c>
      <c r="M162" s="309">
        <v>210</v>
      </c>
      <c r="N162" s="310"/>
      <c r="O162" s="310"/>
      <c r="P162" s="310"/>
      <c r="Q162" s="310" t="s">
        <v>21</v>
      </c>
      <c r="R162" s="2"/>
      <c r="S162" s="2"/>
    </row>
    <row r="163" ht="87.7" customHeight="1" spans="1:19">
      <c r="A163" s="173">
        <v>155</v>
      </c>
      <c r="B163" s="173" t="s">
        <v>34</v>
      </c>
      <c r="C163" s="174" t="str">
        <f>_xlfn.DISPIMG("ID_A1A55BDEDD33485CBF50A90505AFDC3D",1)</f>
        <v>=DISPIMG("ID_A1A55BDEDD33485CBF50A90505AFDC3D",1)</v>
      </c>
      <c r="D163" s="173" t="s">
        <v>40</v>
      </c>
      <c r="E163" s="28">
        <v>85</v>
      </c>
      <c r="F163" s="38">
        <v>73</v>
      </c>
      <c r="G163" s="38">
        <v>98</v>
      </c>
      <c r="H163" s="38">
        <v>85</v>
      </c>
      <c r="I163" s="38">
        <v>107</v>
      </c>
      <c r="J163" s="38">
        <v>74</v>
      </c>
      <c r="K163" s="22">
        <v>522</v>
      </c>
      <c r="L163" s="175">
        <v>345</v>
      </c>
      <c r="M163" s="175">
        <v>250</v>
      </c>
      <c r="N163" s="176"/>
      <c r="O163" s="176" t="s">
        <v>21</v>
      </c>
      <c r="P163" s="176" t="s">
        <v>21</v>
      </c>
      <c r="Q163" s="176"/>
      <c r="R163" s="2"/>
      <c r="S163" s="2"/>
    </row>
    <row r="164" ht="87.7" customHeight="1" spans="1:19">
      <c r="A164" s="278">
        <v>183</v>
      </c>
      <c r="B164" s="278" t="s">
        <v>115</v>
      </c>
      <c r="C164" s="279" t="str">
        <f>_xlfn.DISPIMG("ID_6AE4BCE1635A404093CD524C250B5504",1)</f>
        <v>=DISPIMG("ID_6AE4BCE1635A404093CD524C250B5504",1)</v>
      </c>
      <c r="D164" s="278" t="s">
        <v>231</v>
      </c>
      <c r="E164" s="28">
        <v>80</v>
      </c>
      <c r="F164" s="38">
        <v>88</v>
      </c>
      <c r="G164" s="38">
        <v>94</v>
      </c>
      <c r="H164" s="38">
        <v>90</v>
      </c>
      <c r="I164" s="38">
        <v>65</v>
      </c>
      <c r="J164" s="38">
        <v>105</v>
      </c>
      <c r="K164" s="22">
        <v>522</v>
      </c>
      <c r="L164" s="280">
        <v>252</v>
      </c>
      <c r="M164" s="280">
        <v>166</v>
      </c>
      <c r="N164" s="281"/>
      <c r="O164" s="281"/>
      <c r="P164" s="281"/>
      <c r="Q164" s="281"/>
      <c r="R164" s="2"/>
      <c r="S164" s="2"/>
    </row>
    <row r="165" ht="87.7" customHeight="1" spans="1:19">
      <c r="A165" s="173">
        <v>251</v>
      </c>
      <c r="B165" s="173" t="s">
        <v>34</v>
      </c>
      <c r="C165" s="174" t="str">
        <f>_xlfn.DISPIMG("ID_F7DAA8E49FAB4861A7367AE2B720C775",1)</f>
        <v>=DISPIMG("ID_F7DAA8E49FAB4861A7367AE2B720C775",1)</v>
      </c>
      <c r="D165" s="173" t="s">
        <v>85</v>
      </c>
      <c r="E165" s="28">
        <v>74</v>
      </c>
      <c r="F165" s="38">
        <v>75</v>
      </c>
      <c r="G165" s="38">
        <v>107</v>
      </c>
      <c r="H165" s="38">
        <v>75</v>
      </c>
      <c r="I165" s="38">
        <v>100</v>
      </c>
      <c r="J165" s="38">
        <v>90</v>
      </c>
      <c r="K165" s="22">
        <v>521</v>
      </c>
      <c r="L165" s="175">
        <v>329</v>
      </c>
      <c r="M165" s="175">
        <v>236</v>
      </c>
      <c r="N165" s="176"/>
      <c r="O165" s="176"/>
      <c r="P165" s="176" t="s">
        <v>21</v>
      </c>
      <c r="Q165" s="176"/>
      <c r="R165" s="2"/>
      <c r="S165" s="2"/>
    </row>
    <row r="166" ht="87.7" customHeight="1" spans="1:19">
      <c r="A166" s="173">
        <v>177</v>
      </c>
      <c r="B166" s="173" t="s">
        <v>34</v>
      </c>
      <c r="C166" s="174" t="str">
        <f>_xlfn.DISPIMG("ID_6AABD9BAB4134A1DA206EB4859F57B44",1)</f>
        <v>=DISPIMG("ID_6AABD9BAB4134A1DA206EB4859F57B44",1)</v>
      </c>
      <c r="D166" s="173" t="s">
        <v>94</v>
      </c>
      <c r="E166" s="28">
        <v>95</v>
      </c>
      <c r="F166" s="38">
        <v>75</v>
      </c>
      <c r="G166" s="38">
        <v>80</v>
      </c>
      <c r="H166" s="38">
        <v>80</v>
      </c>
      <c r="I166" s="38">
        <v>99</v>
      </c>
      <c r="J166" s="38">
        <v>91</v>
      </c>
      <c r="K166" s="22">
        <v>520</v>
      </c>
      <c r="L166" s="175">
        <v>327</v>
      </c>
      <c r="M166" s="175">
        <v>234</v>
      </c>
      <c r="N166" s="176"/>
      <c r="O166" s="176" t="s">
        <v>21</v>
      </c>
      <c r="P166" s="176" t="s">
        <v>21</v>
      </c>
      <c r="Q166" s="176"/>
      <c r="R166" s="2"/>
      <c r="S166" s="2"/>
    </row>
    <row r="167" ht="87.7" customHeight="1" spans="1:19">
      <c r="A167" s="252">
        <v>90</v>
      </c>
      <c r="B167" s="311" t="s">
        <v>28</v>
      </c>
      <c r="C167" s="253" t="str">
        <f>_xlfn.DISPIMG("ID_80389CFEA3514D9AAA3227A29A3E224F",1)</f>
        <v>=DISPIMG("ID_80389CFEA3514D9AAA3227A29A3E224F",1)</v>
      </c>
      <c r="D167" s="252" t="s">
        <v>189</v>
      </c>
      <c r="E167" s="28">
        <v>88</v>
      </c>
      <c r="F167" s="38">
        <v>95</v>
      </c>
      <c r="G167" s="38">
        <v>77</v>
      </c>
      <c r="H167" s="38">
        <v>96</v>
      </c>
      <c r="I167" s="38">
        <v>84</v>
      </c>
      <c r="J167" s="38">
        <v>80</v>
      </c>
      <c r="K167" s="22">
        <v>520</v>
      </c>
      <c r="L167" s="58">
        <v>294</v>
      </c>
      <c r="M167" s="58">
        <v>204</v>
      </c>
      <c r="N167" s="254"/>
      <c r="O167" s="254" t="s">
        <v>21</v>
      </c>
      <c r="P167" s="254"/>
      <c r="Q167" s="254"/>
      <c r="R167" s="2"/>
      <c r="S167" s="2"/>
    </row>
    <row r="168" ht="87.7" customHeight="1" spans="1:19">
      <c r="A168" s="307">
        <v>187</v>
      </c>
      <c r="B168" s="307" t="s">
        <v>71</v>
      </c>
      <c r="C168" s="308" t="str">
        <f>_xlfn.DISPIMG("ID_D5FE888FA0B848609502038DE74EF625",1)</f>
        <v>=DISPIMG("ID_D5FE888FA0B848609502038DE74EF625",1)</v>
      </c>
      <c r="D168" s="307" t="s">
        <v>164</v>
      </c>
      <c r="E168" s="28">
        <v>80</v>
      </c>
      <c r="F168" s="38">
        <v>70</v>
      </c>
      <c r="G168" s="38">
        <v>75</v>
      </c>
      <c r="H168" s="38">
        <v>70</v>
      </c>
      <c r="I168" s="38">
        <v>88</v>
      </c>
      <c r="J168" s="38">
        <v>135</v>
      </c>
      <c r="K168" s="22">
        <v>518</v>
      </c>
      <c r="L168" s="309">
        <v>303</v>
      </c>
      <c r="M168" s="309">
        <v>212</v>
      </c>
      <c r="N168" s="310" t="s">
        <v>21</v>
      </c>
      <c r="O168" s="310"/>
      <c r="P168" s="310"/>
      <c r="Q168" s="310" t="s">
        <v>21</v>
      </c>
      <c r="R168" s="2"/>
      <c r="S168" s="2"/>
    </row>
    <row r="169" ht="87.7" customHeight="1" spans="1:19">
      <c r="A169" s="127">
        <v>157</v>
      </c>
      <c r="B169" s="127" t="s">
        <v>55</v>
      </c>
      <c r="C169" s="128" t="str">
        <f>_xlfn.DISPIMG("ID_338517780EDB47469D309116C6BFC08F",1)</f>
        <v>=DISPIMG("ID_338517780EDB47469D309116C6BFC08F",1)</v>
      </c>
      <c r="D169" s="127" t="s">
        <v>230</v>
      </c>
      <c r="E169" s="28">
        <v>96</v>
      </c>
      <c r="F169" s="38">
        <v>90</v>
      </c>
      <c r="G169" s="38">
        <v>83</v>
      </c>
      <c r="H169" s="38">
        <v>88</v>
      </c>
      <c r="I169" s="38">
        <v>68</v>
      </c>
      <c r="J169" s="38">
        <v>90</v>
      </c>
      <c r="K169" s="22">
        <v>515</v>
      </c>
      <c r="L169" s="129">
        <v>259</v>
      </c>
      <c r="M169" s="129">
        <v>172</v>
      </c>
      <c r="N169" s="130"/>
      <c r="O169" s="130"/>
      <c r="P169" s="130" t="s">
        <v>21</v>
      </c>
      <c r="Q169" s="130"/>
      <c r="R169" s="2"/>
      <c r="S169" s="2"/>
    </row>
    <row r="170" ht="87.7" customHeight="1" spans="1:19">
      <c r="A170" s="312">
        <v>331</v>
      </c>
      <c r="B170" s="312" t="s">
        <v>71</v>
      </c>
      <c r="C170" s="313" t="str">
        <f>_xlfn.DISPIMG("ID_34718F4C38854357A9B2E4B65B3C8F12",1)</f>
        <v>=DISPIMG("ID_34718F4C38854357A9B2E4B65B3C8F12",1)</v>
      </c>
      <c r="D170" s="312" t="s">
        <v>229</v>
      </c>
      <c r="E170" s="28">
        <v>94</v>
      </c>
      <c r="F170" s="38">
        <v>105</v>
      </c>
      <c r="G170" s="38">
        <v>82</v>
      </c>
      <c r="H170" s="38">
        <v>74</v>
      </c>
      <c r="I170" s="38">
        <v>69</v>
      </c>
      <c r="J170" s="38">
        <v>90</v>
      </c>
      <c r="K170" s="22">
        <v>514</v>
      </c>
      <c r="L170" s="314">
        <v>261</v>
      </c>
      <c r="M170" s="314">
        <v>174</v>
      </c>
      <c r="N170" s="315" t="s">
        <v>21</v>
      </c>
      <c r="O170" s="315"/>
      <c r="P170" s="315"/>
      <c r="Q170" s="315"/>
      <c r="R170" s="2"/>
      <c r="S170" s="2"/>
    </row>
    <row r="171" ht="87.7" customHeight="1" spans="1:19">
      <c r="A171" s="214">
        <v>185</v>
      </c>
      <c r="B171" s="214" t="s">
        <v>71</v>
      </c>
      <c r="C171" s="215" t="str">
        <f>_xlfn.DISPIMG("ID_EBCEF8C0B50D493699168A5AE0E89CC3",1)</f>
        <v>=DISPIMG("ID_EBCEF8C0B50D493699168A5AE0E89CC3",1)</v>
      </c>
      <c r="D171" s="214" t="s">
        <v>179</v>
      </c>
      <c r="E171" s="28">
        <v>85</v>
      </c>
      <c r="F171" s="38">
        <v>78</v>
      </c>
      <c r="G171" s="38">
        <v>105</v>
      </c>
      <c r="H171" s="38">
        <v>79</v>
      </c>
      <c r="I171" s="38">
        <v>85</v>
      </c>
      <c r="J171" s="38">
        <v>81</v>
      </c>
      <c r="K171" s="22">
        <v>513</v>
      </c>
      <c r="L171" s="216">
        <v>296</v>
      </c>
      <c r="M171" s="216">
        <v>206</v>
      </c>
      <c r="N171" s="217"/>
      <c r="O171" s="217"/>
      <c r="P171" s="217"/>
      <c r="Q171" s="217" t="s">
        <v>21</v>
      </c>
      <c r="R171" s="2"/>
      <c r="S171" s="2"/>
    </row>
    <row r="172" ht="113" customHeight="1" spans="1:19">
      <c r="A172" s="55">
        <v>135</v>
      </c>
      <c r="B172" s="55" t="s">
        <v>28</v>
      </c>
      <c r="C172" s="56" t="str">
        <f>_xlfn.DISPIMG("ID_DBD1DE2F7BFD45EDA5C1C375FF561F57",1)</f>
        <v>=DISPIMG("ID_DBD1DE2F7BFD45EDA5C1C375FF561F57",1)</v>
      </c>
      <c r="D172" s="55" t="s">
        <v>190</v>
      </c>
      <c r="E172" s="28">
        <v>101</v>
      </c>
      <c r="F172" s="38">
        <v>79</v>
      </c>
      <c r="G172" s="38">
        <v>83</v>
      </c>
      <c r="H172" s="38">
        <v>78</v>
      </c>
      <c r="I172" s="38">
        <v>84</v>
      </c>
      <c r="J172" s="38">
        <v>87</v>
      </c>
      <c r="K172" s="22">
        <v>512</v>
      </c>
      <c r="L172" s="57">
        <v>294</v>
      </c>
      <c r="M172" s="57">
        <v>204</v>
      </c>
      <c r="N172" s="59"/>
      <c r="O172" s="59"/>
      <c r="P172" s="59"/>
      <c r="Q172" s="59"/>
      <c r="R172" s="2"/>
      <c r="S172" s="2"/>
    </row>
    <row r="173" ht="87.7" customHeight="1" spans="1:19">
      <c r="A173" s="55">
        <v>174</v>
      </c>
      <c r="B173" s="55" t="s">
        <v>28</v>
      </c>
      <c r="C173" s="56" t="str">
        <f>_xlfn.DISPIMG("ID_8AD350ABAA6644508993E45118E46BDA",1)</f>
        <v>=DISPIMG("ID_8AD350ABAA6644508993E45118E46BDA",1)</v>
      </c>
      <c r="D173" s="55" t="s">
        <v>232</v>
      </c>
      <c r="E173" s="28">
        <v>90</v>
      </c>
      <c r="F173" s="38">
        <v>89</v>
      </c>
      <c r="G173" s="38">
        <v>80</v>
      </c>
      <c r="H173" s="38">
        <v>93</v>
      </c>
      <c r="I173" s="38">
        <v>63</v>
      </c>
      <c r="J173" s="38">
        <v>97</v>
      </c>
      <c r="K173" s="22">
        <v>512</v>
      </c>
      <c r="L173" s="57">
        <v>248</v>
      </c>
      <c r="M173" s="57">
        <v>162</v>
      </c>
      <c r="N173" s="59"/>
      <c r="O173" s="59"/>
      <c r="P173" s="59"/>
      <c r="Q173" s="59"/>
      <c r="R173" s="2"/>
      <c r="S173" s="2"/>
    </row>
    <row r="174" ht="87.7" customHeight="1" spans="1:19">
      <c r="A174" s="200">
        <v>166</v>
      </c>
      <c r="B174" s="200" t="s">
        <v>34</v>
      </c>
      <c r="C174" s="201" t="str">
        <f>_xlfn.DISPIMG("ID_56DCEFDFD4AD44269B060B610A7C093E",1)</f>
        <v>=DISPIMG("ID_56DCEFDFD4AD44269B060B610A7C093E",1)</v>
      </c>
      <c r="D174" s="200" t="s">
        <v>49</v>
      </c>
      <c r="E174" s="28">
        <v>120</v>
      </c>
      <c r="F174" s="38">
        <v>75</v>
      </c>
      <c r="G174" s="38">
        <v>50</v>
      </c>
      <c r="H174" s="38">
        <v>70</v>
      </c>
      <c r="I174" s="38">
        <v>105</v>
      </c>
      <c r="J174" s="38">
        <v>90</v>
      </c>
      <c r="K174" s="22">
        <v>510</v>
      </c>
      <c r="L174" s="202">
        <v>340</v>
      </c>
      <c r="M174" s="202">
        <v>246</v>
      </c>
      <c r="N174" s="203"/>
      <c r="O174" s="203" t="s">
        <v>21</v>
      </c>
      <c r="P174" s="203" t="s">
        <v>21</v>
      </c>
      <c r="Q174" s="203"/>
      <c r="R174" s="2"/>
      <c r="S174" s="2"/>
    </row>
    <row r="175" ht="87.7" customHeight="1" spans="1:19">
      <c r="A175" s="316">
        <v>195</v>
      </c>
      <c r="B175" s="316" t="s">
        <v>17</v>
      </c>
      <c r="C175" s="317" t="str">
        <f>_xlfn.DISPIMG("ID_1D615269B8804ECFBD6C0D5784202E66",1)</f>
        <v>=DISPIMG("ID_1D615269B8804ECFBD6C0D5784202E66",1)</v>
      </c>
      <c r="D175" s="316" t="s">
        <v>84</v>
      </c>
      <c r="E175" s="28">
        <v>105</v>
      </c>
      <c r="F175" s="38">
        <v>80</v>
      </c>
      <c r="G175" s="38">
        <v>85</v>
      </c>
      <c r="H175" s="38">
        <v>60</v>
      </c>
      <c r="I175" s="38">
        <v>100</v>
      </c>
      <c r="J175" s="38">
        <v>80</v>
      </c>
      <c r="K175" s="22">
        <v>510</v>
      </c>
      <c r="L175" s="318">
        <v>329</v>
      </c>
      <c r="M175" s="318">
        <v>236</v>
      </c>
      <c r="N175" s="319"/>
      <c r="O175" s="319" t="s">
        <v>21</v>
      </c>
      <c r="P175" s="319"/>
      <c r="Q175" s="319"/>
      <c r="R175" s="2"/>
      <c r="S175" s="2"/>
    </row>
    <row r="176" ht="87.7" customHeight="1" spans="1:19">
      <c r="A176" s="64">
        <v>171</v>
      </c>
      <c r="B176" s="64" t="s">
        <v>38</v>
      </c>
      <c r="C176" s="65" t="str">
        <f>_xlfn.DISPIMG("ID_CE4A7A7D69644A76BCB6D590205E0FDA",1)</f>
        <v>=DISPIMG("ID_CE4A7A7D69644A76BCB6D590205E0FDA",1)</v>
      </c>
      <c r="D176" s="64" t="s">
        <v>112</v>
      </c>
      <c r="E176" s="28">
        <v>95</v>
      </c>
      <c r="F176" s="38">
        <v>60</v>
      </c>
      <c r="G176" s="38">
        <v>120</v>
      </c>
      <c r="H176" s="38">
        <v>60</v>
      </c>
      <c r="I176" s="38">
        <v>95</v>
      </c>
      <c r="J176" s="38">
        <v>75</v>
      </c>
      <c r="K176" s="22">
        <v>505</v>
      </c>
      <c r="L176" s="66">
        <v>318</v>
      </c>
      <c r="M176" s="66">
        <v>226</v>
      </c>
      <c r="N176" s="67"/>
      <c r="O176" s="67" t="s">
        <v>21</v>
      </c>
      <c r="P176" s="67"/>
      <c r="Q176" s="67" t="s">
        <v>21</v>
      </c>
      <c r="R176" s="2"/>
      <c r="S176" s="2"/>
    </row>
    <row r="177" ht="87.7" customHeight="1" spans="1:19">
      <c r="A177" s="291">
        <v>45</v>
      </c>
      <c r="B177" s="292" t="s">
        <v>17</v>
      </c>
      <c r="C177" s="293" t="str">
        <f>_xlfn.DISPIMG("ID_EB0EE431E76245BCBE534433193E026C",1)</f>
        <v>=DISPIMG("ID_EB0EE431E76245BCBE534433193E026C",1)</v>
      </c>
      <c r="D177" s="291" t="s">
        <v>83</v>
      </c>
      <c r="E177" s="304">
        <v>90</v>
      </c>
      <c r="F177" s="305">
        <v>55</v>
      </c>
      <c r="G177" s="305">
        <v>100</v>
      </c>
      <c r="H177" s="305">
        <v>80</v>
      </c>
      <c r="I177" s="305">
        <v>100</v>
      </c>
      <c r="J177" s="305">
        <v>70</v>
      </c>
      <c r="K177" s="306">
        <v>495</v>
      </c>
      <c r="L177" s="294">
        <v>329</v>
      </c>
      <c r="M177" s="294">
        <v>236</v>
      </c>
      <c r="N177" s="295"/>
      <c r="O177" s="295" t="s">
        <v>21</v>
      </c>
      <c r="P177" s="295"/>
      <c r="Q177" s="295"/>
      <c r="R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</sheetData>
  <autoFilter xmlns:etc="http://www.wps.cn/officeDocument/2017/etCustomData" ref="A1:Q177" etc:filterBottomFollowUsedRange="0">
    <sortState ref="A2:Q177">
      <sortCondition ref="K1" descending="1"/>
    </sortState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3" sqref="A3"/>
    </sheetView>
  </sheetViews>
  <sheetFormatPr defaultColWidth="8.88888888888889" defaultRowHeight="14.4"/>
  <cols>
    <col min="1" max="1" width="14.8888888888889" customWidth="1"/>
    <col min="2" max="5" width="13.4444444444444" customWidth="1"/>
    <col min="7" max="8" width="16.5555555555556" customWidth="1"/>
    <col min="9" max="10" width="8.88888888888889" customWidth="1"/>
    <col min="12" max="13" width="18.3333333333333" customWidth="1"/>
  </cols>
  <sheetData>
    <row r="1" ht="20" customHeight="1" spans="1:13">
      <c r="A1" s="4" t="s">
        <v>244</v>
      </c>
      <c r="B1" s="5"/>
      <c r="C1" s="5"/>
      <c r="D1" s="5"/>
      <c r="E1" s="5"/>
    </row>
    <row r="2" ht="15.9" spans="1:13">
      <c r="A2" s="5"/>
      <c r="B2" s="5" t="s">
        <v>245</v>
      </c>
      <c r="C2" s="5" t="s">
        <v>246</v>
      </c>
      <c r="D2" s="5" t="s">
        <v>247</v>
      </c>
      <c r="E2" s="5" t="s">
        <v>248</v>
      </c>
    </row>
    <row r="3" ht="88" customHeight="1" spans="1:13">
      <c r="A3" s="6" t="s">
        <v>249</v>
      </c>
      <c r="B3" s="5"/>
      <c r="C3" s="5"/>
      <c r="D3" s="5"/>
      <c r="E3" s="5"/>
    </row>
    <row r="4" ht="18" customHeight="1" spans="1:13">
      <c r="A4" s="5" t="s">
        <v>250</v>
      </c>
      <c r="B4" s="7">
        <f>B3*0.67</f>
        <v>0</v>
      </c>
      <c r="C4" s="7">
        <f>C3*0.67</f>
        <v>0</v>
      </c>
      <c r="D4" s="7">
        <f>D3*0.67</f>
        <v>0</v>
      </c>
      <c r="E4" s="7">
        <f>E3*0.67</f>
        <v>0</v>
      </c>
      <c r="G4" s="8" t="s">
        <v>251</v>
      </c>
      <c r="H4" s="9"/>
      <c r="I4" s="9"/>
      <c r="J4" s="9"/>
      <c r="K4" s="9"/>
      <c r="L4" s="9"/>
      <c r="M4" s="10"/>
    </row>
    <row r="5" ht="18" customHeight="1" spans="1:13">
      <c r="A5" s="5" t="s">
        <v>252</v>
      </c>
      <c r="B5" s="7">
        <f>B3*0.5</f>
        <v>0</v>
      </c>
      <c r="C5" s="7">
        <f>C3*0.5</f>
        <v>0</v>
      </c>
      <c r="D5" s="7">
        <f>D3*0.5</f>
        <v>0</v>
      </c>
      <c r="E5" s="7">
        <f>E3*0.5</f>
        <v>0</v>
      </c>
      <c r="G5" s="11" t="s">
        <v>253</v>
      </c>
      <c r="H5" s="12"/>
      <c r="I5" s="12"/>
      <c r="J5" s="12"/>
      <c r="K5" s="2"/>
      <c r="L5" s="11" t="s">
        <v>254</v>
      </c>
      <c r="M5" s="12"/>
    </row>
    <row r="6" ht="18" customHeight="1" spans="1:13">
      <c r="A6" s="5" t="s">
        <v>255</v>
      </c>
      <c r="B6" s="7">
        <f>B3*0.4</f>
        <v>0</v>
      </c>
      <c r="C6" s="7">
        <f>C3*0.4</f>
        <v>0</v>
      </c>
      <c r="D6" s="7">
        <f>D3*0.4</f>
        <v>0</v>
      </c>
      <c r="E6" s="7">
        <f>E3*0.4</f>
        <v>0</v>
      </c>
      <c r="G6" s="13" t="s">
        <v>256</v>
      </c>
      <c r="H6" s="13" t="s">
        <v>257</v>
      </c>
      <c r="I6" s="13" t="s">
        <v>258</v>
      </c>
      <c r="J6" s="13" t="s">
        <v>259</v>
      </c>
      <c r="K6" s="2"/>
      <c r="L6" s="13" t="s">
        <v>260</v>
      </c>
      <c r="M6" s="13" t="s">
        <v>261</v>
      </c>
    </row>
    <row r="7" ht="18" customHeight="1" spans="1:13">
      <c r="A7" s="5" t="s">
        <v>262</v>
      </c>
      <c r="B7" s="7">
        <f>0.33*B3</f>
        <v>0</v>
      </c>
      <c r="C7" s="7">
        <f>0.33*C3</f>
        <v>0</v>
      </c>
      <c r="D7" s="7">
        <f>0.33*D3</f>
        <v>0</v>
      </c>
      <c r="E7" s="7">
        <f>0.33*E3</f>
        <v>0</v>
      </c>
      <c r="G7" s="13"/>
      <c r="H7" s="13"/>
      <c r="I7" s="13"/>
      <c r="J7" s="13"/>
      <c r="K7" s="2"/>
      <c r="L7" s="14" t="e">
        <f>(0.84*G7/H7*I7+2)*J7*1.5</f>
        <v>#DIV/0!</v>
      </c>
      <c r="M7" s="14" t="e">
        <f>(0.84*G7/H7*I7+2)*J7</f>
        <v>#DIV/0!</v>
      </c>
    </row>
    <row r="8" ht="18" customHeight="1" spans="1:13">
      <c r="A8" s="5" t="s">
        <v>263</v>
      </c>
      <c r="B8" s="7">
        <f>0.29*B3</f>
        <v>0</v>
      </c>
      <c r="C8" s="7">
        <f>0.29*C3</f>
        <v>0</v>
      </c>
      <c r="D8" s="7">
        <f>0.29*D3</f>
        <v>0</v>
      </c>
      <c r="E8" s="7">
        <f>0.29*E3</f>
        <v>0</v>
      </c>
      <c r="G8" s="2"/>
      <c r="H8" s="2"/>
      <c r="I8" s="2"/>
      <c r="J8" s="2"/>
      <c r="K8" s="2"/>
      <c r="L8" s="13" t="s">
        <v>264</v>
      </c>
      <c r="M8" s="13" t="s">
        <v>265</v>
      </c>
    </row>
    <row r="9" ht="18" customHeight="1" spans="1:13">
      <c r="A9" s="5" t="s">
        <v>266</v>
      </c>
      <c r="B9" s="7">
        <f>B3*0.25</f>
        <v>0</v>
      </c>
      <c r="C9" s="7">
        <f>C3*0.25</f>
        <v>0</v>
      </c>
      <c r="D9" s="7">
        <f>D3*0.25</f>
        <v>0</v>
      </c>
      <c r="E9" s="7">
        <f>E3*0.25</f>
        <v>0</v>
      </c>
      <c r="G9" s="2"/>
      <c r="H9" s="2"/>
      <c r="I9" s="2"/>
      <c r="J9" s="2"/>
      <c r="K9" s="2"/>
      <c r="L9" s="14" t="e">
        <f>(0.84*G7/H7*I7+2)*J7*1.5*217/255</f>
        <v>#DIV/0!</v>
      </c>
      <c r="M9" s="14" t="e">
        <f>(0.84*G7/H7*I7+2)*J7*217/255</f>
        <v>#DIV/0!</v>
      </c>
    </row>
    <row r="10" ht="18" customHeight="1" spans="1:13">
      <c r="A10" s="5" t="s">
        <v>267</v>
      </c>
      <c r="B10" s="7">
        <f>B3*1.5</f>
        <v>0</v>
      </c>
      <c r="C10" s="7">
        <f>C3*1.5</f>
        <v>0</v>
      </c>
      <c r="D10" s="7">
        <f>D3*1.5</f>
        <v>0</v>
      </c>
      <c r="E10" s="7">
        <f>E3*1.5</f>
        <v>0</v>
      </c>
    </row>
    <row r="11" ht="18" customHeight="1" spans="1:13">
      <c r="A11" s="5" t="s">
        <v>268</v>
      </c>
      <c r="B11" s="7">
        <f>B3*2</f>
        <v>0</v>
      </c>
      <c r="C11" s="7">
        <f>C3*2</f>
        <v>0</v>
      </c>
      <c r="D11" s="7">
        <f>D3*2</f>
        <v>0</v>
      </c>
      <c r="E11" s="7">
        <f>E3*2</f>
        <v>0</v>
      </c>
    </row>
    <row r="12" ht="18" customHeight="1" spans="1:13">
      <c r="A12" s="5" t="s">
        <v>269</v>
      </c>
      <c r="B12" s="7">
        <f>B3*2.5</f>
        <v>0</v>
      </c>
      <c r="C12" s="7">
        <f>C3*2.5</f>
        <v>0</v>
      </c>
      <c r="D12" s="7">
        <f>D3*2.5</f>
        <v>0</v>
      </c>
      <c r="E12" s="7">
        <f>E3*2.5</f>
        <v>0</v>
      </c>
    </row>
    <row r="13" ht="18" customHeight="1" spans="1:13">
      <c r="A13" s="5" t="s">
        <v>270</v>
      </c>
      <c r="B13" s="7">
        <f>B3*3</f>
        <v>0</v>
      </c>
      <c r="C13" s="7">
        <f>C3*3</f>
        <v>0</v>
      </c>
      <c r="D13" s="7">
        <f>D3*3</f>
        <v>0</v>
      </c>
      <c r="E13" s="7">
        <f>E3*3</f>
        <v>0</v>
      </c>
    </row>
    <row r="14" ht="18" customHeight="1" spans="1:13">
      <c r="A14" s="5" t="s">
        <v>271</v>
      </c>
      <c r="B14" s="7">
        <f>B3*3.5</f>
        <v>0</v>
      </c>
      <c r="C14" s="7">
        <f>C3*3.5</f>
        <v>0</v>
      </c>
      <c r="D14" s="7">
        <f>D3*3.5</f>
        <v>0</v>
      </c>
      <c r="E14" s="7">
        <f>E3*3.5</f>
        <v>0</v>
      </c>
    </row>
    <row r="15" ht="18" customHeight="1" spans="1:13">
      <c r="A15" s="5" t="s">
        <v>272</v>
      </c>
      <c r="B15" s="7">
        <f>B3*4</f>
        <v>0</v>
      </c>
      <c r="C15" s="7">
        <f>C3*4</f>
        <v>0</v>
      </c>
      <c r="D15" s="7">
        <f>D3*4</f>
        <v>0</v>
      </c>
      <c r="E15" s="7">
        <f>E3*4</f>
        <v>0</v>
      </c>
    </row>
    <row r="16" ht="15.15"/>
  </sheetData>
  <mergeCells count="4">
    <mergeCell ref="A1:E1"/>
    <mergeCell ref="G4:M4"/>
    <mergeCell ref="G5:J5"/>
    <mergeCell ref="L5:M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6"/>
  <sheetViews>
    <sheetView zoomScale="130" zoomScaleNormal="130" workbookViewId="0">
      <selection activeCell="B7" sqref="B7"/>
    </sheetView>
  </sheetViews>
  <sheetFormatPr defaultColWidth="9" defaultRowHeight="14.4" outlineLevelRow="5" outlineLevelCol="2"/>
  <cols>
    <col min="1" max="1" width="33.0740740740741" customWidth="1"/>
    <col min="2" max="2" width="82.0555555555556" customWidth="1"/>
    <col min="3" max="3" width="69.3148148148148" customWidth="1"/>
  </cols>
  <sheetData>
    <row r="1" ht="409" customHeight="1" spans="2:3">
      <c r="B1" s="2" t="str">
        <f>_xlfn.DISPIMG("ID_8C26EDDAD6DF4A19A83EBC072E81E6BF",1)</f>
        <v>=DISPIMG("ID_8C26EDDAD6DF4A19A83EBC072E81E6BF",1)</v>
      </c>
      <c r="C1" s="2"/>
    </row>
    <row r="2" ht="125" customHeight="1" spans="2:3">
      <c r="B2" s="2"/>
      <c r="C2" s="2"/>
    </row>
    <row r="3" customFormat="1" ht="409" customHeight="1" spans="2:3">
      <c r="B3" s="2" t="str">
        <f>_xlfn.DISPIMG("ID_FC0E94E7418840049C6391B7C4F5B02E",1)</f>
        <v>=DISPIMG("ID_FC0E94E7418840049C6391B7C4F5B02E",1)</v>
      </c>
    </row>
    <row r="4" customFormat="1" ht="278" customHeight="1" spans="2:3">
      <c r="B4" s="2"/>
    </row>
    <row r="5" ht="354" customHeight="1" spans="2:3">
      <c r="B5" t="str">
        <f>_xlfn.DISPIMG("ID_5E48DAFE8DA64C1B9F4562AC5AF90B83",1)</f>
        <v>=DISPIMG("ID_5E48DAFE8DA64C1B9F4562AC5AF90B83",1)</v>
      </c>
    </row>
    <row r="6" ht="42" customHeight="1" spans="2:3">
      <c r="B6" s="3" t="s">
        <v>273</v>
      </c>
    </row>
  </sheetData>
  <mergeCells count="3">
    <mergeCell ref="B1:B2"/>
    <mergeCell ref="B3:B4"/>
    <mergeCell ref="C1:C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6"/>
  <sheetViews>
    <sheetView zoomScale="250" zoomScaleNormal="250" topLeftCell="B1" workbookViewId="0">
      <selection activeCell="C15" sqref="C15"/>
    </sheetView>
  </sheetViews>
  <sheetFormatPr defaultColWidth="8.88888888888889" defaultRowHeight="14.4" outlineLevelCol="2"/>
  <cols>
    <col min="3" max="3" width="41.3240740740741" customWidth="1"/>
  </cols>
  <sheetData>
    <row r="1" ht="375" customHeight="1" spans="3:3">
      <c r="C1" t="str">
        <f>_xlfn.DISPIMG("ID_BCA50290EC77494989A0E3B79CFCEF40",1)</f>
        <v>=DISPIMG("ID_BCA50290EC77494989A0E3B79CFCEF40",1)</v>
      </c>
    </row>
    <row r="2" ht="375" customHeight="1" spans="3:3">
      <c r="C2" t="str">
        <f>_xlfn.DISPIMG("ID_2351673C4DBB4D4FA344D45FE26215AD",1)</f>
        <v>=DISPIMG("ID_2351673C4DBB4D4FA344D45FE26215AD",1)</v>
      </c>
    </row>
    <row r="3" ht="375" customHeight="1" spans="3:3">
      <c r="C3" t="str">
        <f>_xlfn.DISPIMG("ID_32CFB0F8A0944C0CA8895CE8BD68DDF3",1)</f>
        <v>=DISPIMG("ID_32CFB0F8A0944C0CA8895CE8BD68DDF3",1)</v>
      </c>
    </row>
    <row r="4" ht="375" customHeight="1" spans="3:3">
      <c r="C4" t="str">
        <f>_xlfn.DISPIMG("ID_D60AF119E63A4A7DAB7B153A1DEF98CE",1)</f>
        <v>=DISPIMG("ID_D60AF119E63A4A7DAB7B153A1DEF98CE",1)</v>
      </c>
    </row>
    <row r="5" ht="375" customHeight="1" spans="3:3">
      <c r="C5" t="str">
        <f>_xlfn.DISPIMG("ID_0DB57F7DCF354659BB984294F46EC813",1)</f>
        <v>=DISPIMG("ID_0DB57F7DCF354659BB984294F46EC813",1)</v>
      </c>
    </row>
    <row r="6" ht="375" customHeight="1" spans="3:3">
      <c r="C6" t="str">
        <f>_xlfn.DISPIMG("ID_94561FB6AA43435FB1AEA8667B910BCA",1)</f>
        <v>=DISPIMG("ID_94561FB6AA43435FB1AEA8667B910BCA",1)</v>
      </c>
    </row>
    <row r="7" ht="375" customHeight="1" spans="3:3">
      <c r="C7" t="str">
        <f>_xlfn.DISPIMG("ID_44262C6985014519AC4E40EB4B278C6B",1)</f>
        <v>=DISPIMG("ID_44262C6985014519AC4E40EB4B278C6B",1)</v>
      </c>
    </row>
    <row r="8" ht="375" customHeight="1" spans="3:3">
      <c r="C8" t="str">
        <f>_xlfn.DISPIMG("ID_423B7856773F4621BB84E9352F589E2F",1)</f>
        <v>=DISPIMG("ID_423B7856773F4621BB84E9352F589E2F",1)</v>
      </c>
    </row>
    <row r="9" ht="375" customHeight="1" spans="3:3">
      <c r="C9" t="str">
        <f>_xlfn.DISPIMG("ID_305BB84FB79C4C5491CB2CED725A5E6E",1)</f>
        <v>=DISPIMG("ID_305BB84FB79C4C5491CB2CED725A5E6E",1)</v>
      </c>
    </row>
    <row r="10" ht="375" customHeight="1" spans="3:3">
      <c r="C10" t="str">
        <f>_xlfn.DISPIMG("ID_E5EAB9455F874E8EBB10DE91448F221A",1)</f>
        <v>=DISPIMG("ID_E5EAB9455F874E8EBB10DE91448F221A",1)</v>
      </c>
    </row>
    <row r="11" ht="375" customHeight="1" spans="3:3">
      <c r="C11" t="str">
        <f>_xlfn.DISPIMG("ID_78EEAFC60A754DA097EBA3EBADF7F327",1)</f>
        <v>=DISPIMG("ID_78EEAFC60A754DA097EBA3EBADF7F327",1)</v>
      </c>
    </row>
    <row r="12" ht="375" customHeight="1" spans="3:3">
      <c r="C12" t="str">
        <f>_xlfn.DISPIMG("ID_D3D1F1A8912B4F56997A479F76C08A31",1)</f>
        <v>=DISPIMG("ID_D3D1F1A8912B4F56997A479F76C08A31",1)</v>
      </c>
    </row>
    <row r="13" ht="375" customHeight="1" spans="3:3">
      <c r="C13" t="str">
        <f>_xlfn.DISPIMG("ID_03B1D471BA9D4F55A206F95D9EB6C98B",1)</f>
        <v>=DISPIMG("ID_03B1D471BA9D4F55A206F95D9EB6C98B",1)</v>
      </c>
    </row>
    <row r="14" ht="375" customHeight="1" spans="3:3">
      <c r="C14" t="str">
        <f>_xlfn.DISPIMG("ID_2C2CB311EE104B8F955C578AD9F36507",1)</f>
        <v>=DISPIMG("ID_2C2CB311EE104B8F955C578AD9F36507",1)</v>
      </c>
    </row>
    <row r="15" ht="375" customHeight="1"/>
    <row r="16" ht="375" customHeight="1"/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15" zoomScaleNormal="115" workbookViewId="0">
      <selection activeCell="A1" sqref="A1"/>
    </sheetView>
  </sheetViews>
  <sheetFormatPr defaultColWidth="8.88888888888889" defaultRowHeight="14.4"/>
  <cols>
    <col min="1" max="1" width="91.6666666666667" customWidth="1"/>
  </cols>
  <sheetData>
    <row r="1" ht="302" customHeight="1" spans="1:1">
      <c r="A1" s="1" t="str">
        <f>_xlfn.DISPIMG("ID_ADA148E09E6B43378CD8E2A0F76FCEA6",1)</f>
        <v>=DISPIMG("ID_ADA148E09E6B43378CD8E2A0F76FCEA6",1)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按速度排序表</vt:lpstr>
      <vt:lpstr>按种族值排序表</vt:lpstr>
      <vt:lpstr>伤害计算器</vt:lpstr>
      <vt:lpstr>前言及操作说明</vt:lpstr>
      <vt:lpstr>思路讲解</vt:lpstr>
      <vt:lpstr>感谢支持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吴</cp:lastModifiedBy>
  <dcterms:created xsi:type="dcterms:W3CDTF">2023-05-12T11:15:00Z</dcterms:created>
  <dcterms:modified xsi:type="dcterms:W3CDTF">2025-11-09T03:45:53Z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EM_Doc_Temp_ID">
    <vt:lpwstr>539E973F-1A61-4DC2-89BD-68BC3863618A</vt:lpwstr>
  </property>
  <property fmtid="{D5CDD505-2E9C-101B-9397-08002B2CF9AE}" pid="4" name="ICV">
    <vt:lpwstr>03B1591F6678411DB465A48E8DDA8F83_12</vt:lpwstr>
  </property>
</Properties>
</file>